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06" windowWidth="5805" windowHeight="6960" tabRatio="601" activeTab="1"/>
  </bookViews>
  <sheets>
    <sheet name="Español" sheetId="1" r:id="rId1"/>
    <sheet name="English 1" sheetId="2" r:id="rId2"/>
    <sheet name="Gráfico5" sheetId="3" r:id="rId3"/>
    <sheet name="Hoja1" sheetId="4" r:id="rId4"/>
    <sheet name="Hoja2" sheetId="5" r:id="rId5"/>
    <sheet name="Gráfico1" sheetId="6" r:id="rId6"/>
    <sheet name="Gráfico2" sheetId="7" r:id="rId7"/>
    <sheet name="Gráfico3" sheetId="8" r:id="rId8"/>
    <sheet name="Gráfico4" sheetId="9" r:id="rId9"/>
    <sheet name="caudal máx.m3" sheetId="10" r:id="rId10"/>
    <sheet name="caudal máx. l-s" sheetId="11" r:id="rId11"/>
    <sheet name="Vol de resina vs tamaño" sheetId="12" r:id="rId12"/>
    <sheet name="Gráfico6" sheetId="13" r:id="rId13"/>
    <sheet name="calc. volumen estanque" sheetId="14" r:id="rId14"/>
    <sheet name="Hoja5" sheetId="15" r:id="rId15"/>
    <sheet name="Hoja4" sheetId="16" r:id="rId16"/>
    <sheet name="Hoja3" sheetId="17" r:id="rId17"/>
  </sheets>
  <definedNames/>
  <calcPr fullCalcOnLoad="1"/>
</workbook>
</file>

<file path=xl/sharedStrings.xml><?xml version="1.0" encoding="utf-8"?>
<sst xmlns="http://schemas.openxmlformats.org/spreadsheetml/2006/main" count="272" uniqueCount="148">
  <si>
    <t>m3/día</t>
  </si>
  <si>
    <t>m3/h</t>
  </si>
  <si>
    <t>ppm</t>
  </si>
  <si>
    <t>HFD-SYN150K</t>
  </si>
  <si>
    <t>HFD-SYN240K</t>
  </si>
  <si>
    <t>HFD-SYN300K</t>
  </si>
  <si>
    <t>gpm</t>
  </si>
  <si>
    <t>gpd</t>
  </si>
  <si>
    <t>grains</t>
  </si>
  <si>
    <t>regen.</t>
  </si>
  <si>
    <t>granos</t>
  </si>
  <si>
    <t>kg. de sal</t>
  </si>
  <si>
    <t xml:space="preserve"> </t>
  </si>
  <si>
    <t>SYN 25K</t>
  </si>
  <si>
    <t>SYN 30K</t>
  </si>
  <si>
    <t>SYN 45K</t>
  </si>
  <si>
    <t>SYN 75K</t>
  </si>
  <si>
    <t>hardness</t>
  </si>
  <si>
    <t>max. peak flow</t>
  </si>
  <si>
    <t xml:space="preserve">  peak flow</t>
  </si>
  <si>
    <t>kg. of salt</t>
  </si>
  <si>
    <t>use</t>
  </si>
  <si>
    <t>possible gpm</t>
  </si>
  <si>
    <t>amount of units:</t>
  </si>
  <si>
    <t>req./month</t>
  </si>
  <si>
    <t>Total flow / day</t>
  </si>
  <si>
    <t>cuft of</t>
  </si>
  <si>
    <t>resin</t>
  </si>
  <si>
    <t>Cálculo de ablandador Aquathin</t>
  </si>
  <si>
    <t>caudal día</t>
  </si>
  <si>
    <t>caudal punta</t>
  </si>
  <si>
    <t>dureza</t>
  </si>
  <si>
    <t>capacidad</t>
  </si>
  <si>
    <t>punta gpm</t>
  </si>
  <si>
    <t>max. caudal pta.</t>
  </si>
  <si>
    <t>uso</t>
  </si>
  <si>
    <t>17.1 ppm</t>
  </si>
  <si>
    <t>35.31 cft</t>
  </si>
  <si>
    <t>1m3 =</t>
  </si>
  <si>
    <t>1cft =</t>
  </si>
  <si>
    <t>1grano =</t>
  </si>
  <si>
    <t xml:space="preserve">         required</t>
  </si>
  <si>
    <t>Mini Sodialite2k</t>
  </si>
  <si>
    <t>ASC 15K/F</t>
  </si>
  <si>
    <t>ASC 25K/F</t>
  </si>
  <si>
    <t>ASC 40K/F</t>
  </si>
  <si>
    <t>ASC 45K/F</t>
  </si>
  <si>
    <t>ASC 60K/F</t>
  </si>
  <si>
    <t>AS2850-150K</t>
  </si>
  <si>
    <t>AS2850-240K</t>
  </si>
  <si>
    <t>AS2850-300K</t>
  </si>
  <si>
    <t>AS2900-240K</t>
  </si>
  <si>
    <t>AS2900-300K</t>
  </si>
  <si>
    <t>AS2900-510K</t>
  </si>
  <si>
    <t>AS3900-300K</t>
  </si>
  <si>
    <t>AS3900-510K</t>
  </si>
  <si>
    <t>AS3900-750K</t>
  </si>
  <si>
    <t>SYN3900 spec.</t>
  </si>
  <si>
    <t>Fe + Mn</t>
  </si>
  <si>
    <t>1psi =</t>
  </si>
  <si>
    <t>0.71mwc</t>
  </si>
  <si>
    <t>total grains</t>
  </si>
  <si>
    <t>per tank</t>
  </si>
  <si>
    <t>264.17 gal.</t>
  </si>
  <si>
    <t>l/min.</t>
  </si>
  <si>
    <t>"</t>
  </si>
  <si>
    <t>peak flow speed:</t>
  </si>
  <si>
    <t>grain cap.</t>
  </si>
  <si>
    <t>regen. per</t>
  </si>
  <si>
    <t>day / tank</t>
  </si>
  <si>
    <t>1gal. =</t>
  </si>
  <si>
    <t>% poten.</t>
  </si>
  <si>
    <t>growth</t>
  </si>
  <si>
    <t>/day/tank</t>
  </si>
  <si>
    <t>granos / ppm</t>
  </si>
  <si>
    <t>caudales maximos en m3/dia</t>
  </si>
  <si>
    <t>caudales maximos en l/seg</t>
  </si>
  <si>
    <t>Peak flow / h</t>
  </si>
  <si>
    <t>of system / day</t>
  </si>
  <si>
    <t>required grains/day:</t>
  </si>
  <si>
    <t>Unit model:</t>
  </si>
  <si>
    <t>unidades</t>
  </si>
  <si>
    <t>velocidad  punta</t>
  </si>
  <si>
    <t>granos req./ día:</t>
  </si>
  <si>
    <t>Ø de tubería:</t>
  </si>
  <si>
    <t>28.32 litro</t>
  </si>
  <si>
    <t>3.79 litro</t>
  </si>
  <si>
    <t>regen. por</t>
  </si>
  <si>
    <t>día / cilind.</t>
  </si>
  <si>
    <t>gran./ cilind.</t>
  </si>
  <si>
    <t>caudal</t>
  </si>
  <si>
    <t xml:space="preserve">         cantidad de</t>
  </si>
  <si>
    <t>regen./</t>
  </si>
  <si>
    <t>día/cilind.</t>
  </si>
  <si>
    <t>req. / mes</t>
  </si>
  <si>
    <t>posible gpm</t>
  </si>
  <si>
    <t>% creci-</t>
  </si>
  <si>
    <t>miento</t>
  </si>
  <si>
    <t>total de granos</t>
  </si>
  <si>
    <t>sistema / día</t>
  </si>
  <si>
    <t>Cap. Requerida granos/día</t>
  </si>
  <si>
    <t>cap. Cilindro</t>
  </si>
  <si>
    <t>cilindro 1</t>
  </si>
  <si>
    <t>cilindro 2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</si>
  <si>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</si>
  <si>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</si>
  <si>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</si>
  <si>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</si>
  <si>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</si>
  <si>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</si>
  <si>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</si>
  <si>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</si>
  <si>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</si>
  <si>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</si>
  <si>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consumo sal</t>
  </si>
  <si>
    <t>m/s</t>
  </si>
  <si>
    <t>días</t>
  </si>
  <si>
    <t>flow velocity:</t>
  </si>
  <si>
    <t>recom. Pipe Ø:</t>
  </si>
  <si>
    <t>válvula</t>
  </si>
  <si>
    <t>gal. prog.</t>
  </si>
  <si>
    <t>caudal de entrada</t>
  </si>
  <si>
    <t>volúmen estanque</t>
  </si>
  <si>
    <t>litros / hora</t>
  </si>
  <si>
    <t>lit./min.</t>
  </si>
  <si>
    <t>Minuto</t>
  </si>
  <si>
    <t>litros</t>
  </si>
  <si>
    <t>caudal peak de salida</t>
  </si>
  <si>
    <t>Volúmen total utilizable:</t>
  </si>
  <si>
    <t>durante</t>
  </si>
  <si>
    <t>minutos</t>
  </si>
  <si>
    <t>tiempo de rellenado</t>
  </si>
  <si>
    <t>horas</t>
  </si>
  <si>
    <t>SYN-25K</t>
  </si>
  <si>
    <t>SYN-30K</t>
  </si>
  <si>
    <t>SYN-45K</t>
  </si>
  <si>
    <t>SYN-75K</t>
  </si>
  <si>
    <t>días / mes</t>
  </si>
  <si>
    <t>Calc. Volumen de resina cartridge</t>
  </si>
  <si>
    <t>litros resina</t>
  </si>
  <si>
    <r>
      <t xml:space="preserve">pie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res.</t>
    </r>
  </si>
  <si>
    <t>por cilind.</t>
  </si>
  <si>
    <t>SYN2900 spec.</t>
  </si>
  <si>
    <t>days / month</t>
  </si>
  <si>
    <t>28.32 liter</t>
  </si>
  <si>
    <t>3.79 liter</t>
  </si>
  <si>
    <t>valve</t>
  </si>
  <si>
    <t>setting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</si>
</sst>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_(* #,##0.0_);_(* \(#,##0.0\);_(* &quot;-&quot;??_);_(@_)"/>
    <numFmt numFmtId="185" formatCode="_(* #,##0_);_(* \(#,##0\);_(* &quot;-&quot;??_);_(@_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%"/>
    <numFmt numFmtId="192" formatCode="_(* #,##0.000_);_(* \(#,##0.000\);_(* &quot;-&quot;??_);_(@_)"/>
    <numFmt numFmtId="193" formatCode="_(* #,##0.0000_);_(* \(#,##0.0000\);_(* &quot;-&quot;??_);_(@_)"/>
    <numFmt numFmtId="194" formatCode="#,###"/>
    <numFmt numFmtId="195" formatCode="0.00000000"/>
    <numFmt numFmtId="196" formatCode="0.0000000"/>
    <numFmt numFmtId="197" formatCode="_-* #,##0.0_-;\-* #,##0.0_-;_-* &quot;-&quot;??_-;_-@_-"/>
    <numFmt numFmtId="198" formatCode="_-* #,##0_-;\-* #,##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5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5" fontId="0" fillId="0" borderId="0" xfId="15" applyNumberFormat="1" applyAlignment="1">
      <alignment/>
    </xf>
    <xf numFmtId="0" fontId="0" fillId="0" borderId="0" xfId="0" applyAlignment="1">
      <alignment horizontal="center"/>
    </xf>
    <xf numFmtId="185" fontId="0" fillId="0" borderId="0" xfId="15" applyNumberForma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3" fontId="0" fillId="0" borderId="0" xfId="15" applyAlignment="1">
      <alignment/>
    </xf>
    <xf numFmtId="184" fontId="0" fillId="0" borderId="0" xfId="15" applyNumberFormat="1" applyAlignment="1">
      <alignment/>
    </xf>
    <xf numFmtId="0" fontId="0" fillId="0" borderId="0" xfId="0" applyAlignment="1">
      <alignment horizontal="right"/>
    </xf>
    <xf numFmtId="43" fontId="0" fillId="0" borderId="0" xfId="15" applyAlignment="1">
      <alignment horizontal="center"/>
    </xf>
    <xf numFmtId="43" fontId="0" fillId="0" borderId="0" xfId="15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185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/>
    </xf>
    <xf numFmtId="185" fontId="0" fillId="0" borderId="0" xfId="15" applyNumberFormat="1" applyAlignment="1">
      <alignment horizontal="center"/>
    </xf>
    <xf numFmtId="0" fontId="1" fillId="0" borderId="0" xfId="0" applyFont="1" applyAlignment="1">
      <alignment/>
    </xf>
    <xf numFmtId="185" fontId="0" fillId="0" borderId="0" xfId="0" applyNumberFormat="1" applyAlignment="1">
      <alignment/>
    </xf>
    <xf numFmtId="9" fontId="0" fillId="0" borderId="0" xfId="25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Border="1" applyAlignment="1">
      <alignment/>
    </xf>
    <xf numFmtId="184" fontId="0" fillId="0" borderId="0" xfId="15" applyNumberFormat="1" applyFont="1" applyAlignment="1">
      <alignment/>
    </xf>
    <xf numFmtId="0" fontId="0" fillId="0" borderId="0" xfId="0" applyBorder="1" applyAlignment="1">
      <alignment horizontal="right"/>
    </xf>
    <xf numFmtId="43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85" fontId="1" fillId="0" borderId="0" xfId="15" applyNumberFormat="1" applyFont="1" applyAlignment="1">
      <alignment/>
    </xf>
    <xf numFmtId="193" fontId="0" fillId="0" borderId="0" xfId="15" applyNumberFormat="1" applyAlignment="1">
      <alignment/>
    </xf>
    <xf numFmtId="43" fontId="0" fillId="0" borderId="0" xfId="15" applyFont="1" applyAlignment="1">
      <alignment/>
    </xf>
    <xf numFmtId="185" fontId="0" fillId="0" borderId="0" xfId="15" applyNumberFormat="1" applyBorder="1" applyAlignment="1">
      <alignment horizontal="center"/>
    </xf>
    <xf numFmtId="192" fontId="0" fillId="0" borderId="0" xfId="15" applyNumberFormat="1" applyAlignment="1">
      <alignment/>
    </xf>
    <xf numFmtId="43" fontId="0" fillId="0" borderId="0" xfId="15" applyNumberFormat="1" applyAlignment="1">
      <alignment/>
    </xf>
    <xf numFmtId="184" fontId="0" fillId="0" borderId="0" xfId="0" applyNumberFormat="1" applyAlignment="1">
      <alignment/>
    </xf>
    <xf numFmtId="185" fontId="0" fillId="0" borderId="0" xfId="15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198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0" fillId="0" borderId="12" xfId="0" applyBorder="1" applyAlignment="1">
      <alignment horizontal="right"/>
    </xf>
    <xf numFmtId="171" fontId="0" fillId="0" borderId="12" xfId="15" applyNumberFormat="1" applyBorder="1" applyAlignment="1">
      <alignment/>
    </xf>
    <xf numFmtId="198" fontId="0" fillId="2" borderId="0" xfId="15" applyNumberFormat="1" applyFill="1" applyAlignment="1">
      <alignment/>
    </xf>
    <xf numFmtId="198" fontId="0" fillId="2" borderId="12" xfId="15" applyNumberFormat="1" applyFill="1" applyBorder="1" applyAlignment="1">
      <alignment/>
    </xf>
    <xf numFmtId="198" fontId="0" fillId="0" borderId="0" xfId="15" applyNumberFormat="1" applyFont="1" applyAlignment="1">
      <alignment horizontal="right"/>
    </xf>
    <xf numFmtId="198" fontId="1" fillId="0" borderId="0" xfId="15" applyNumberFormat="1" applyFont="1" applyAlignment="1">
      <alignment horizontal="center"/>
    </xf>
    <xf numFmtId="198" fontId="1" fillId="0" borderId="0" xfId="15" applyNumberFormat="1" applyFont="1" applyAlignment="1">
      <alignment/>
    </xf>
    <xf numFmtId="198" fontId="1" fillId="0" borderId="0" xfId="0" applyNumberFormat="1" applyFont="1" applyAlignment="1">
      <alignment/>
    </xf>
    <xf numFmtId="198" fontId="0" fillId="0" borderId="0" xfId="0" applyNumberFormat="1" applyAlignment="1">
      <alignment/>
    </xf>
    <xf numFmtId="198" fontId="0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43" fontId="0" fillId="0" borderId="0" xfId="15" applyNumberFormat="1" applyAlignment="1">
      <alignment horizontal="left"/>
    </xf>
    <xf numFmtId="0" fontId="0" fillId="0" borderId="5" xfId="0" applyFont="1" applyBorder="1" applyAlignment="1">
      <alignment horizontal="center"/>
    </xf>
    <xf numFmtId="43" fontId="0" fillId="0" borderId="0" xfId="15" applyFill="1" applyAlignment="1">
      <alignment horizontal="center"/>
    </xf>
    <xf numFmtId="185" fontId="0" fillId="0" borderId="0" xfId="15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0" xfId="15" applyNumberFormat="1" applyFill="1" applyAlignment="1">
      <alignment/>
    </xf>
    <xf numFmtId="185" fontId="0" fillId="0" borderId="0" xfId="15" applyNumberFormat="1" applyFill="1" applyAlignment="1">
      <alignment/>
    </xf>
    <xf numFmtId="9" fontId="0" fillId="0" borderId="0" xfId="25" applyFill="1" applyAlignment="1">
      <alignment/>
    </xf>
    <xf numFmtId="185" fontId="0" fillId="0" borderId="0" xfId="0" applyNumberFormat="1" applyFill="1" applyAlignment="1">
      <alignment/>
    </xf>
    <xf numFmtId="198" fontId="0" fillId="0" borderId="0" xfId="15" applyNumberFormat="1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ares [0]_calc abland Aquathin.xls Gráfico 1" xfId="21"/>
    <cellStyle name="Millares_calc abland Aquathin.xls Gráfico 1" xfId="22"/>
    <cellStyle name="Moneda [0]_calc abland Aquathin.xls Gráfico 1" xfId="23"/>
    <cellStyle name="Moneda_calc abland Aquathin.xls Gráfico 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Valve settings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4"/>
          <c:w val="0.8552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Hoja1!$C$3:$C$4</c:f>
              <c:strCache>
                <c:ptCount val="1"/>
                <c:pt idx="0">
                  <c:v>SYN-25K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Hoja1!$B$5:$B$31</c:f>
              <c:numCache>
                <c:ptCount val="27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</c:numCache>
            </c:numRef>
          </c:cat>
          <c:val>
            <c:numRef>
              <c:f>Hoja1!$C$5:$C$31</c:f>
              <c:numCache>
                <c:ptCount val="27"/>
                <c:pt idx="0">
                  <c:v>1806.5217391304352</c:v>
                </c:pt>
                <c:pt idx="1">
                  <c:v>1600.0000000000002</c:v>
                </c:pt>
                <c:pt idx="2">
                  <c:v>1434.7826086956525</c:v>
                </c:pt>
                <c:pt idx="3">
                  <c:v>1299.6047430830042</c:v>
                </c:pt>
                <c:pt idx="4">
                  <c:v>1186.9565217391307</c:v>
                </c:pt>
                <c:pt idx="5">
                  <c:v>1091.6387959866222</c:v>
                </c:pt>
                <c:pt idx="6">
                  <c:v>1009.937888198758</c:v>
                </c:pt>
                <c:pt idx="7">
                  <c:v>939.1304347826087</c:v>
                </c:pt>
                <c:pt idx="8">
                  <c:v>877.1739130434785</c:v>
                </c:pt>
                <c:pt idx="9">
                  <c:v>822.5063938618927</c:v>
                </c:pt>
                <c:pt idx="10">
                  <c:v>773.913043478261</c:v>
                </c:pt>
                <c:pt idx="11">
                  <c:v>730.4347826086959</c:v>
                </c:pt>
                <c:pt idx="12">
                  <c:v>691.3043478260871</c:v>
                </c:pt>
                <c:pt idx="13">
                  <c:v>655.9006211180125</c:v>
                </c:pt>
                <c:pt idx="14">
                  <c:v>623.715415019763</c:v>
                </c:pt>
                <c:pt idx="15">
                  <c:v>594.3289224952741</c:v>
                </c:pt>
                <c:pt idx="16">
                  <c:v>567.3913043478262</c:v>
                </c:pt>
                <c:pt idx="17">
                  <c:v>542.6086956521741</c:v>
                </c:pt>
                <c:pt idx="18">
                  <c:v>519.732441471572</c:v>
                </c:pt>
                <c:pt idx="19">
                  <c:v>498.55072463768124</c:v>
                </c:pt>
                <c:pt idx="20">
                  <c:v>478.88198757763985</c:v>
                </c:pt>
                <c:pt idx="21">
                  <c:v>460.56971514242883</c:v>
                </c:pt>
                <c:pt idx="22">
                  <c:v>443.47826086956525</c:v>
                </c:pt>
                <c:pt idx="23">
                  <c:v>427.4894810659187</c:v>
                </c:pt>
                <c:pt idx="24">
                  <c:v>412.5000000000001</c:v>
                </c:pt>
                <c:pt idx="25">
                  <c:v>398.41897233201587</c:v>
                </c:pt>
                <c:pt idx="26">
                  <c:v>385.1662404092072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Hoja1!$D$3:$D$4</c:f>
              <c:strCache>
                <c:ptCount val="1"/>
                <c:pt idx="0">
                  <c:v>SYN-30K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Hoja1!$B$5:$B$31</c:f>
              <c:numCache>
                <c:ptCount val="27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</c:numCache>
            </c:numRef>
          </c:cat>
          <c:val>
            <c:numRef>
              <c:f>Hoja1!$D$5:$D$31</c:f>
              <c:numCache>
                <c:ptCount val="27"/>
                <c:pt idx="0">
                  <c:v>2178.260869565218</c:v>
                </c:pt>
                <c:pt idx="1">
                  <c:v>1930.4347826086957</c:v>
                </c:pt>
                <c:pt idx="2">
                  <c:v>1732.1739130434787</c:v>
                </c:pt>
                <c:pt idx="3">
                  <c:v>1569.9604743083005</c:v>
                </c:pt>
                <c:pt idx="4">
                  <c:v>1434.7826086956525</c:v>
                </c:pt>
                <c:pt idx="5">
                  <c:v>1320.4013377926422</c:v>
                </c:pt>
                <c:pt idx="6">
                  <c:v>1222.360248447205</c:v>
                </c:pt>
                <c:pt idx="7">
                  <c:v>1137.3913043478265</c:v>
                </c:pt>
                <c:pt idx="8">
                  <c:v>1063.0434782608697</c:v>
                </c:pt>
                <c:pt idx="9">
                  <c:v>997.4424552429667</c:v>
                </c:pt>
                <c:pt idx="10">
                  <c:v>939.1304347826087</c:v>
                </c:pt>
                <c:pt idx="11">
                  <c:v>886.9565217391305</c:v>
                </c:pt>
                <c:pt idx="12">
                  <c:v>840.0000000000002</c:v>
                </c:pt>
                <c:pt idx="13">
                  <c:v>797.5155279503107</c:v>
                </c:pt>
                <c:pt idx="14">
                  <c:v>758.8932806324111</c:v>
                </c:pt>
                <c:pt idx="15">
                  <c:v>723.6294896030247</c:v>
                </c:pt>
                <c:pt idx="16">
                  <c:v>691.3043478260871</c:v>
                </c:pt>
                <c:pt idx="17">
                  <c:v>661.5652173913046</c:v>
                </c:pt>
                <c:pt idx="18">
                  <c:v>634.113712374582</c:v>
                </c:pt>
                <c:pt idx="19">
                  <c:v>608.6956521739131</c:v>
                </c:pt>
                <c:pt idx="20">
                  <c:v>585.0931677018634</c:v>
                </c:pt>
                <c:pt idx="21">
                  <c:v>563.1184407796103</c:v>
                </c:pt>
                <c:pt idx="22">
                  <c:v>542.6086956521741</c:v>
                </c:pt>
                <c:pt idx="23">
                  <c:v>523.4221598877981</c:v>
                </c:pt>
                <c:pt idx="24">
                  <c:v>505.4347826086958</c:v>
                </c:pt>
                <c:pt idx="25">
                  <c:v>488.5375494071147</c:v>
                </c:pt>
                <c:pt idx="26">
                  <c:v>472.63427109974424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Hoja1!$E$3:$E$4</c:f>
              <c:strCache>
                <c:ptCount val="1"/>
                <c:pt idx="0">
                  <c:v>SYN-45K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Hoja1!$B$5:$B$31</c:f>
              <c:numCache>
                <c:ptCount val="27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</c:numCache>
            </c:numRef>
          </c:cat>
          <c:val>
            <c:numRef>
              <c:f>Hoja1!$E$5:$E$31</c:f>
              <c:numCache>
                <c:ptCount val="27"/>
                <c:pt idx="0">
                  <c:v>3293.478260869566</c:v>
                </c:pt>
                <c:pt idx="1">
                  <c:v>2921.739130434783</c:v>
                </c:pt>
                <c:pt idx="2">
                  <c:v>2624.347826086957</c:v>
                </c:pt>
                <c:pt idx="3">
                  <c:v>2381.02766798419</c:v>
                </c:pt>
                <c:pt idx="4">
                  <c:v>2178.260869565218</c:v>
                </c:pt>
                <c:pt idx="5">
                  <c:v>2006.6889632107025</c:v>
                </c:pt>
                <c:pt idx="6">
                  <c:v>1859.627329192547</c:v>
                </c:pt>
                <c:pt idx="7">
                  <c:v>1732.1739130434785</c:v>
                </c:pt>
                <c:pt idx="8">
                  <c:v>1620.6521739130437</c:v>
                </c:pt>
                <c:pt idx="9">
                  <c:v>1522.2506393861895</c:v>
                </c:pt>
                <c:pt idx="10">
                  <c:v>1434.7826086956522</c:v>
                </c:pt>
                <c:pt idx="11">
                  <c:v>1356.521739130435</c:v>
                </c:pt>
                <c:pt idx="12">
                  <c:v>1286.0869565217395</c:v>
                </c:pt>
                <c:pt idx="13">
                  <c:v>1222.360248447205</c:v>
                </c:pt>
                <c:pt idx="14">
                  <c:v>1164.426877470356</c:v>
                </c:pt>
                <c:pt idx="15">
                  <c:v>1111.5311909262762</c:v>
                </c:pt>
                <c:pt idx="16">
                  <c:v>1063.0434782608697</c:v>
                </c:pt>
                <c:pt idx="17">
                  <c:v>1018.434782608696</c:v>
                </c:pt>
                <c:pt idx="18">
                  <c:v>977.2575250836121</c:v>
                </c:pt>
                <c:pt idx="19">
                  <c:v>939.1304347826087</c:v>
                </c:pt>
                <c:pt idx="20">
                  <c:v>903.7267080745344</c:v>
                </c:pt>
                <c:pt idx="21">
                  <c:v>870.7646176911545</c:v>
                </c:pt>
                <c:pt idx="22">
                  <c:v>840.0000000000001</c:v>
                </c:pt>
                <c:pt idx="23">
                  <c:v>811.2201963534363</c:v>
                </c:pt>
                <c:pt idx="24">
                  <c:v>784.2391304347827</c:v>
                </c:pt>
                <c:pt idx="25">
                  <c:v>758.8932806324112</c:v>
                </c:pt>
                <c:pt idx="26">
                  <c:v>735.0383631713556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Hoja1!$F$3:$F$4</c:f>
              <c:strCache>
                <c:ptCount val="1"/>
                <c:pt idx="0">
                  <c:v>SYN-75K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Hoja1!$B$5:$B$31</c:f>
              <c:numCache>
                <c:ptCount val="27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</c:numCache>
            </c:numRef>
          </c:cat>
          <c:val>
            <c:numRef>
              <c:f>Hoja1!$F$5:$F$31</c:f>
              <c:numCache>
                <c:ptCount val="27"/>
                <c:pt idx="0">
                  <c:v>5523.913043478262</c:v>
                </c:pt>
                <c:pt idx="1">
                  <c:v>4904.347826086957</c:v>
                </c:pt>
                <c:pt idx="2">
                  <c:v>4408.695652173914</c:v>
                </c:pt>
                <c:pt idx="3">
                  <c:v>4003.162055335969</c:v>
                </c:pt>
                <c:pt idx="4">
                  <c:v>3665.217391304349</c:v>
                </c:pt>
                <c:pt idx="5">
                  <c:v>3379.264214046823</c:v>
                </c:pt>
                <c:pt idx="6">
                  <c:v>3134.1614906832306</c:v>
                </c:pt>
                <c:pt idx="7">
                  <c:v>2921.7391304347834</c:v>
                </c:pt>
                <c:pt idx="8">
                  <c:v>2735.869565217392</c:v>
                </c:pt>
                <c:pt idx="9">
                  <c:v>2571.8670076726344</c:v>
                </c:pt>
                <c:pt idx="10">
                  <c:v>2426.0869565217395</c:v>
                </c:pt>
                <c:pt idx="11">
                  <c:v>2295.652173913044</c:v>
                </c:pt>
                <c:pt idx="12">
                  <c:v>2178.260869565218</c:v>
                </c:pt>
                <c:pt idx="13">
                  <c:v>2072.0496894409944</c:v>
                </c:pt>
                <c:pt idx="14">
                  <c:v>1975.4940711462455</c:v>
                </c:pt>
                <c:pt idx="15">
                  <c:v>1887.3345935727793</c:v>
                </c:pt>
                <c:pt idx="16">
                  <c:v>1806.5217391304352</c:v>
                </c:pt>
                <c:pt idx="17">
                  <c:v>1732.1739130434787</c:v>
                </c:pt>
                <c:pt idx="18">
                  <c:v>1663.5451505016724</c:v>
                </c:pt>
                <c:pt idx="19">
                  <c:v>1600.0000000000002</c:v>
                </c:pt>
                <c:pt idx="20">
                  <c:v>1540.993788819876</c:v>
                </c:pt>
                <c:pt idx="21">
                  <c:v>1486.0569715142433</c:v>
                </c:pt>
                <c:pt idx="22">
                  <c:v>1434.7826086956525</c:v>
                </c:pt>
                <c:pt idx="23">
                  <c:v>1386.8162692847127</c:v>
                </c:pt>
                <c:pt idx="24">
                  <c:v>1341.8478260869567</c:v>
                </c:pt>
                <c:pt idx="25">
                  <c:v>1299.6047430830042</c:v>
                </c:pt>
                <c:pt idx="26">
                  <c:v>1259.846547314578</c:v>
                </c:pt>
              </c:numCache>
            </c:numRef>
          </c:val>
          <c:smooth val="0"/>
        </c:ser>
        <c:marker val="1"/>
        <c:axId val="16891459"/>
        <c:axId val="20090264"/>
      </c:lineChart>
      <c:catAx>
        <c:axId val="1689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dureza ppm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90264"/>
        <c:crosses val="autoZero"/>
        <c:auto val="1"/>
        <c:lblOffset val="100"/>
        <c:noMultiLvlLbl val="0"/>
      </c:catAx>
      <c:valAx>
        <c:axId val="20090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galones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891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Caudales máximos en m3/día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5"/>
          <c:y val="0.09475"/>
          <c:w val="0.822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'caudal máx.m3'!$A$5</c:f>
              <c:strCache>
                <c:ptCount val="1"/>
                <c:pt idx="0">
                  <c:v>HFD-SYN150K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máx.m3'!$C$5:$J$5</c:f>
              <c:numCache>
                <c:ptCount val="8"/>
                <c:pt idx="0">
                  <c:v>1165.1461200000003</c:v>
                </c:pt>
                <c:pt idx="1">
                  <c:v>582.5730600000002</c:v>
                </c:pt>
                <c:pt idx="2">
                  <c:v>388.38204</c:v>
                </c:pt>
                <c:pt idx="3">
                  <c:v>291.2865300000001</c:v>
                </c:pt>
                <c:pt idx="4">
                  <c:v>233.02922400000006</c:v>
                </c:pt>
                <c:pt idx="5">
                  <c:v>194.19102</c:v>
                </c:pt>
                <c:pt idx="6">
                  <c:v>166.4494457142857</c:v>
                </c:pt>
                <c:pt idx="7">
                  <c:v>145.64326500000004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'caudal máx.m3'!$A$6</c:f>
              <c:strCache>
                <c:ptCount val="1"/>
                <c:pt idx="0">
                  <c:v>HFD-SYN240K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máx.m3'!$C$6:$J$6</c:f>
              <c:numCache>
                <c:ptCount val="8"/>
                <c:pt idx="0">
                  <c:v>1864.2337920000004</c:v>
                </c:pt>
                <c:pt idx="1">
                  <c:v>932.1168960000002</c:v>
                </c:pt>
                <c:pt idx="2">
                  <c:v>621.4112640000001</c:v>
                </c:pt>
                <c:pt idx="3">
                  <c:v>466.0584480000001</c:v>
                </c:pt>
                <c:pt idx="4">
                  <c:v>372.84675840000006</c:v>
                </c:pt>
                <c:pt idx="5">
                  <c:v>310.70563200000004</c:v>
                </c:pt>
                <c:pt idx="6">
                  <c:v>266.3191131428572</c:v>
                </c:pt>
                <c:pt idx="7">
                  <c:v>233.02922400000006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'caudal máx.m3'!$A$7</c:f>
              <c:strCache>
                <c:ptCount val="1"/>
                <c:pt idx="0">
                  <c:v>HFD-SYN300K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máx.m3'!$C$7:$J$7</c:f>
              <c:numCache>
                <c:ptCount val="8"/>
                <c:pt idx="0">
                  <c:v>2330.2922400000007</c:v>
                </c:pt>
                <c:pt idx="1">
                  <c:v>1165.1461200000003</c:v>
                </c:pt>
                <c:pt idx="2">
                  <c:v>776.76408</c:v>
                </c:pt>
                <c:pt idx="3">
                  <c:v>582.5730600000002</c:v>
                </c:pt>
                <c:pt idx="4">
                  <c:v>466.0584480000001</c:v>
                </c:pt>
                <c:pt idx="5">
                  <c:v>388.38204</c:v>
                </c:pt>
                <c:pt idx="6">
                  <c:v>332.8988914285714</c:v>
                </c:pt>
                <c:pt idx="7">
                  <c:v>291.2865300000001</c:v>
                </c:pt>
              </c:numCache>
            </c:numRef>
          </c:val>
          <c:smooth val="0"/>
        </c:ser>
        <c:marker val="1"/>
        <c:axId val="45746745"/>
        <c:axId val="51587190"/>
      </c:lineChart>
      <c:catAx>
        <c:axId val="45746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ppm x 100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87190"/>
        <c:crosses val="autoZero"/>
        <c:auto val="1"/>
        <c:lblOffset val="100"/>
        <c:noMultiLvlLbl val="0"/>
      </c:catAx>
      <c:valAx>
        <c:axId val="51587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m3 / 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46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35725"/>
          <c:w val="0.21475"/>
          <c:h val="0.1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Caudales máximos en m3/día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"/>
          <c:y val="0.09925"/>
          <c:w val="0.85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'caudal máx.m3'!$A$9</c:f>
              <c:strCache>
                <c:ptCount val="1"/>
                <c:pt idx="0">
                  <c:v>SYN 25K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máx.m3'!$C$9:$J$9</c:f>
              <c:numCache>
                <c:ptCount val="8"/>
                <c:pt idx="0">
                  <c:v>194.19102</c:v>
                </c:pt>
                <c:pt idx="1">
                  <c:v>97.09551</c:v>
                </c:pt>
                <c:pt idx="2">
                  <c:v>64.73034000000001</c:v>
                </c:pt>
                <c:pt idx="3">
                  <c:v>48.547755</c:v>
                </c:pt>
                <c:pt idx="4">
                  <c:v>38.838204000000005</c:v>
                </c:pt>
                <c:pt idx="5">
                  <c:v>32.365170000000006</c:v>
                </c:pt>
                <c:pt idx="6">
                  <c:v>27.74157428571429</c:v>
                </c:pt>
                <c:pt idx="7">
                  <c:v>24.2738775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'caudal máx.m3'!$A$10</c:f>
              <c:strCache>
                <c:ptCount val="1"/>
                <c:pt idx="0">
                  <c:v>SYN 30K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máx.m3'!$C$10:$J$10</c:f>
              <c:numCache>
                <c:ptCount val="8"/>
                <c:pt idx="0">
                  <c:v>233.02922400000006</c:v>
                </c:pt>
                <c:pt idx="1">
                  <c:v>116.51461200000003</c:v>
                </c:pt>
                <c:pt idx="2">
                  <c:v>77.67640800000001</c:v>
                </c:pt>
                <c:pt idx="3">
                  <c:v>58.257306000000014</c:v>
                </c:pt>
                <c:pt idx="4">
                  <c:v>46.60584480000001</c:v>
                </c:pt>
                <c:pt idx="5">
                  <c:v>38.838204000000005</c:v>
                </c:pt>
                <c:pt idx="6">
                  <c:v>33.28988914285715</c:v>
                </c:pt>
                <c:pt idx="7">
                  <c:v>29.128653000000007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'caudal máx.m3'!$A$11</c:f>
              <c:strCache>
                <c:ptCount val="1"/>
                <c:pt idx="0">
                  <c:v>SYN 45K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máx.m3'!$C$11:$J$11</c:f>
              <c:numCache>
                <c:ptCount val="8"/>
                <c:pt idx="0">
                  <c:v>349.54383600000006</c:v>
                </c:pt>
                <c:pt idx="1">
                  <c:v>174.77191800000003</c:v>
                </c:pt>
                <c:pt idx="2">
                  <c:v>116.51461200000003</c:v>
                </c:pt>
                <c:pt idx="3">
                  <c:v>87.38595900000001</c:v>
                </c:pt>
                <c:pt idx="4">
                  <c:v>69.90876720000001</c:v>
                </c:pt>
                <c:pt idx="5">
                  <c:v>58.257306000000014</c:v>
                </c:pt>
                <c:pt idx="6">
                  <c:v>49.93483371428572</c:v>
                </c:pt>
                <c:pt idx="7">
                  <c:v>43.69297950000001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'caudal máx.m3'!$A$12</c:f>
              <c:strCache>
                <c:ptCount val="1"/>
                <c:pt idx="0">
                  <c:v>SYN 75K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máx.m3'!$C$12:$J$12</c:f>
              <c:numCache>
                <c:ptCount val="8"/>
                <c:pt idx="0">
                  <c:v>582.5730600000002</c:v>
                </c:pt>
                <c:pt idx="1">
                  <c:v>291.2865300000001</c:v>
                </c:pt>
                <c:pt idx="2">
                  <c:v>194.19102</c:v>
                </c:pt>
                <c:pt idx="3">
                  <c:v>145.64326500000004</c:v>
                </c:pt>
                <c:pt idx="4">
                  <c:v>116.51461200000003</c:v>
                </c:pt>
                <c:pt idx="5">
                  <c:v>97.09551</c:v>
                </c:pt>
                <c:pt idx="6">
                  <c:v>83.22472285714285</c:v>
                </c:pt>
                <c:pt idx="7">
                  <c:v>72.82163250000002</c:v>
                </c:pt>
              </c:numCache>
            </c:numRef>
          </c:val>
          <c:smooth val="0"/>
        </c:ser>
        <c:marker val="1"/>
        <c:axId val="19633503"/>
        <c:axId val="32500676"/>
      </c:lineChart>
      <c:catAx>
        <c:axId val="1963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ppm x100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32500676"/>
        <c:crosses val="autoZero"/>
        <c:auto val="1"/>
        <c:lblOffset val="100"/>
        <c:noMultiLvlLbl val="0"/>
      </c:catAx>
      <c:valAx>
        <c:axId val="32500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m3 / 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3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75"/>
          <c:y val="0.37675"/>
          <c:w val="0.17125"/>
          <c:h val="0.19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Caudales máximos en m3/día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225"/>
          <c:w val="0.8442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'caudal máx.m3'!$A$14</c:f>
              <c:strCache>
                <c:ptCount val="1"/>
                <c:pt idx="0">
                  <c:v>ASC 15K/F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máx.m3'!$C$14:$J$14</c:f>
              <c:numCache>
                <c:ptCount val="8"/>
                <c:pt idx="0">
                  <c:v>9.709551000000001</c:v>
                </c:pt>
                <c:pt idx="1">
                  <c:v>4.854775500000001</c:v>
                </c:pt>
                <c:pt idx="2">
                  <c:v>3.2365170000000005</c:v>
                </c:pt>
                <c:pt idx="3">
                  <c:v>2.4273877500000003</c:v>
                </c:pt>
                <c:pt idx="4">
                  <c:v>1.9419102000000006</c:v>
                </c:pt>
                <c:pt idx="5">
                  <c:v>1.6182585000000003</c:v>
                </c:pt>
                <c:pt idx="6">
                  <c:v>1.3870787142857144</c:v>
                </c:pt>
                <c:pt idx="7">
                  <c:v>1.2136938750000001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'caudal máx.m3'!$A$15</c:f>
              <c:strCache>
                <c:ptCount val="1"/>
                <c:pt idx="0">
                  <c:v>ASC 25K/F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máx.m3'!$C$15:$J$15</c:f>
              <c:numCache>
                <c:ptCount val="8"/>
                <c:pt idx="0">
                  <c:v>16.182585000000003</c:v>
                </c:pt>
                <c:pt idx="1">
                  <c:v>8.091292500000002</c:v>
                </c:pt>
                <c:pt idx="2">
                  <c:v>5.394195000000001</c:v>
                </c:pt>
                <c:pt idx="3">
                  <c:v>4.045646250000001</c:v>
                </c:pt>
                <c:pt idx="4">
                  <c:v>3.2365170000000005</c:v>
                </c:pt>
                <c:pt idx="5">
                  <c:v>2.6970975000000004</c:v>
                </c:pt>
                <c:pt idx="6">
                  <c:v>2.3117978571428575</c:v>
                </c:pt>
                <c:pt idx="7">
                  <c:v>2.0228231250000004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'caudal máx.m3'!$A$16</c:f>
              <c:strCache>
                <c:ptCount val="1"/>
                <c:pt idx="0">
                  <c:v>ASC 40K/F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máx.m3'!$C$16:$J$16</c:f>
              <c:numCache>
                <c:ptCount val="8"/>
                <c:pt idx="0">
                  <c:v>25.892136000000004</c:v>
                </c:pt>
                <c:pt idx="1">
                  <c:v>12.946068000000002</c:v>
                </c:pt>
                <c:pt idx="2">
                  <c:v>8.630712</c:v>
                </c:pt>
                <c:pt idx="3">
                  <c:v>6.473034000000001</c:v>
                </c:pt>
                <c:pt idx="4">
                  <c:v>5.178427200000001</c:v>
                </c:pt>
                <c:pt idx="5">
                  <c:v>4.315356</c:v>
                </c:pt>
                <c:pt idx="6">
                  <c:v>3.698876571428572</c:v>
                </c:pt>
                <c:pt idx="7">
                  <c:v>3.2365170000000005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'caudal máx.m3'!$A$17</c:f>
              <c:strCache>
                <c:ptCount val="1"/>
                <c:pt idx="0">
                  <c:v>ASC 45K/F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máx.m3'!$C$17:$J$17</c:f>
              <c:numCache>
                <c:ptCount val="8"/>
                <c:pt idx="0">
                  <c:v>29.128653000000007</c:v>
                </c:pt>
                <c:pt idx="1">
                  <c:v>14.564326500000004</c:v>
                </c:pt>
                <c:pt idx="2">
                  <c:v>9.709551000000001</c:v>
                </c:pt>
                <c:pt idx="3">
                  <c:v>7.282163250000002</c:v>
                </c:pt>
                <c:pt idx="4">
                  <c:v>5.825730600000001</c:v>
                </c:pt>
                <c:pt idx="5">
                  <c:v>4.854775500000001</c:v>
                </c:pt>
                <c:pt idx="6">
                  <c:v>4.161236142857144</c:v>
                </c:pt>
                <c:pt idx="7">
                  <c:v>3.641081625000001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'caudal máx.m3'!$A$18</c:f>
              <c:strCache>
                <c:ptCount val="1"/>
                <c:pt idx="0">
                  <c:v>ASC 60K/F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máx.m3'!$C$18:$J$18</c:f>
              <c:numCache>
                <c:ptCount val="8"/>
                <c:pt idx="0">
                  <c:v>38.838204000000005</c:v>
                </c:pt>
                <c:pt idx="1">
                  <c:v>19.419102000000002</c:v>
                </c:pt>
                <c:pt idx="2">
                  <c:v>12.946068000000002</c:v>
                </c:pt>
                <c:pt idx="3">
                  <c:v>9.709551000000001</c:v>
                </c:pt>
                <c:pt idx="4">
                  <c:v>7.767640800000002</c:v>
                </c:pt>
                <c:pt idx="5">
                  <c:v>6.473034000000001</c:v>
                </c:pt>
                <c:pt idx="6">
                  <c:v>5.5483148571428575</c:v>
                </c:pt>
                <c:pt idx="7">
                  <c:v>4.854775500000001</c:v>
                </c:pt>
              </c:numCache>
            </c:numRef>
          </c:val>
          <c:smooth val="0"/>
        </c:ser>
        <c:marker val="1"/>
        <c:axId val="2995509"/>
        <c:axId val="19760898"/>
      </c:lineChart>
      <c:catAx>
        <c:axId val="299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ppm x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60898"/>
        <c:crosses val="autoZero"/>
        <c:auto val="1"/>
        <c:lblOffset val="100"/>
        <c:noMultiLvlLbl val="0"/>
      </c:catAx>
      <c:valAx>
        <c:axId val="1976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m3 / 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5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7"/>
          <c:y val="0.37675"/>
          <c:w val="0.1525"/>
          <c:h val="0.2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Caudales máximos en litros / día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4"/>
          <c:w val="0.8715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'caudal máx.m3'!$A$20</c:f>
              <c:strCache>
                <c:ptCount val="1"/>
                <c:pt idx="0">
                  <c:v>Mini Sodialite2k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máx.m3'!$C$20:$J$20</c:f>
              <c:numCache>
                <c:ptCount val="8"/>
                <c:pt idx="0">
                  <c:v>1035.6854400000002</c:v>
                </c:pt>
                <c:pt idx="1">
                  <c:v>517.8427200000001</c:v>
                </c:pt>
                <c:pt idx="2">
                  <c:v>345.22848000000005</c:v>
                </c:pt>
                <c:pt idx="3">
                  <c:v>258.92136000000005</c:v>
                </c:pt>
                <c:pt idx="4">
                  <c:v>207.13708800000003</c:v>
                </c:pt>
                <c:pt idx="5">
                  <c:v>172.61424000000002</c:v>
                </c:pt>
                <c:pt idx="6">
                  <c:v>147.95506285714288</c:v>
                </c:pt>
                <c:pt idx="7">
                  <c:v>129.46068000000002</c:v>
                </c:pt>
              </c:numCache>
            </c:numRef>
          </c:val>
          <c:smooth val="0"/>
        </c:ser>
        <c:marker val="1"/>
        <c:axId val="36195131"/>
        <c:axId val="43025840"/>
      </c:lineChart>
      <c:catAx>
        <c:axId val="3619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ppm x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25840"/>
        <c:crosses val="autoZero"/>
        <c:auto val="1"/>
        <c:lblOffset val="100"/>
        <c:noMultiLvlLbl val="0"/>
      </c:catAx>
      <c:valAx>
        <c:axId val="4302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litros / 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95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5"/>
          <c:y val="0.40175"/>
          <c:w val="0.19575"/>
          <c:h val="0.07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  Volúmen de resina vs. tamaño y dureza</a:t>
            </a:r>
          </a:p>
        </c:rich>
      </c:tx>
      <c:layout>
        <c:manualLayout>
          <c:xMode val="factor"/>
          <c:yMode val="factor"/>
          <c:x val="0.0035"/>
          <c:y val="0.05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5"/>
          <c:w val="0.87275"/>
          <c:h val="0.56725"/>
        </c:manualLayout>
      </c:layout>
      <c:lineChart>
        <c:grouping val="standard"/>
        <c:varyColors val="0"/>
        <c:ser>
          <c:idx val="0"/>
          <c:order val="0"/>
          <c:tx>
            <c:v>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tamaño'!$C$5:$J$5</c:f>
              <c:numCache>
                <c:ptCount val="8"/>
                <c:pt idx="0">
                  <c:v>323.65170000000006</c:v>
                </c:pt>
                <c:pt idx="1">
                  <c:v>161.82585000000003</c:v>
                </c:pt>
                <c:pt idx="2">
                  <c:v>107.88390000000001</c:v>
                </c:pt>
                <c:pt idx="3">
                  <c:v>80.91292500000002</c:v>
                </c:pt>
                <c:pt idx="4">
                  <c:v>64.73034000000001</c:v>
                </c:pt>
                <c:pt idx="5">
                  <c:v>53.941950000000006</c:v>
                </c:pt>
                <c:pt idx="6">
                  <c:v>46.235957142857146</c:v>
                </c:pt>
                <c:pt idx="7">
                  <c:v>40.45646250000001</c:v>
                </c:pt>
              </c:numCache>
            </c:numRef>
          </c:val>
          <c:smooth val="0"/>
        </c:ser>
        <c:ser>
          <c:idx val="1"/>
          <c:order val="1"/>
          <c:tx>
            <c:v>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tamaño'!$C$6:$J$6</c:f>
              <c:numCache>
                <c:ptCount val="8"/>
                <c:pt idx="0">
                  <c:v>647.3034000000001</c:v>
                </c:pt>
                <c:pt idx="1">
                  <c:v>323.65170000000006</c:v>
                </c:pt>
                <c:pt idx="2">
                  <c:v>215.76780000000002</c:v>
                </c:pt>
                <c:pt idx="3">
                  <c:v>161.82585000000003</c:v>
                </c:pt>
                <c:pt idx="4">
                  <c:v>129.46068000000002</c:v>
                </c:pt>
                <c:pt idx="5">
                  <c:v>107.88390000000001</c:v>
                </c:pt>
                <c:pt idx="6">
                  <c:v>92.47191428571429</c:v>
                </c:pt>
                <c:pt idx="7">
                  <c:v>80.91292500000002</c:v>
                </c:pt>
              </c:numCache>
            </c:numRef>
          </c:val>
          <c:smooth val="0"/>
        </c:ser>
        <c:ser>
          <c:idx val="2"/>
          <c:order val="2"/>
          <c:tx>
            <c:v>1500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tamaño'!$C$7:$J$7</c:f>
              <c:numCache>
                <c:ptCount val="8"/>
                <c:pt idx="0">
                  <c:v>970.9551000000002</c:v>
                </c:pt>
                <c:pt idx="1">
                  <c:v>485.4775500000001</c:v>
                </c:pt>
                <c:pt idx="2">
                  <c:v>323.65170000000006</c:v>
                </c:pt>
                <c:pt idx="3">
                  <c:v>242.73877500000006</c:v>
                </c:pt>
                <c:pt idx="4">
                  <c:v>194.19102</c:v>
                </c:pt>
                <c:pt idx="5">
                  <c:v>161.82585000000003</c:v>
                </c:pt>
                <c:pt idx="6">
                  <c:v>138.70787142857145</c:v>
                </c:pt>
                <c:pt idx="7">
                  <c:v>121.36938750000003</c:v>
                </c:pt>
              </c:numCache>
            </c:numRef>
          </c:val>
          <c:smooth val="0"/>
        </c:ser>
        <c:ser>
          <c:idx val="3"/>
          <c:order val="3"/>
          <c:tx>
            <c:v>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tamaño'!$C$8:$J$8</c:f>
              <c:numCache>
                <c:ptCount val="8"/>
                <c:pt idx="0">
                  <c:v>1294.6068000000002</c:v>
                </c:pt>
                <c:pt idx="1">
                  <c:v>647.3034000000001</c:v>
                </c:pt>
                <c:pt idx="2">
                  <c:v>431.53560000000004</c:v>
                </c:pt>
                <c:pt idx="3">
                  <c:v>323.65170000000006</c:v>
                </c:pt>
                <c:pt idx="4">
                  <c:v>258.92136000000005</c:v>
                </c:pt>
                <c:pt idx="5">
                  <c:v>215.76780000000002</c:v>
                </c:pt>
                <c:pt idx="6">
                  <c:v>184.94382857142858</c:v>
                </c:pt>
                <c:pt idx="7">
                  <c:v>161.82585000000003</c:v>
                </c:pt>
              </c:numCache>
            </c:numRef>
          </c:val>
          <c:smooth val="0"/>
        </c:ser>
        <c:ser>
          <c:idx val="4"/>
          <c:order val="4"/>
          <c:tx>
            <c:v>2500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tamaño'!$C$9:$J$9</c:f>
              <c:numCache>
                <c:ptCount val="8"/>
                <c:pt idx="0">
                  <c:v>1618.2585000000004</c:v>
                </c:pt>
                <c:pt idx="1">
                  <c:v>809.1292500000002</c:v>
                </c:pt>
                <c:pt idx="2">
                  <c:v>539.4195000000001</c:v>
                </c:pt>
                <c:pt idx="3">
                  <c:v>404.5646250000001</c:v>
                </c:pt>
                <c:pt idx="4">
                  <c:v>323.65170000000006</c:v>
                </c:pt>
                <c:pt idx="5">
                  <c:v>269.70975000000004</c:v>
                </c:pt>
                <c:pt idx="6">
                  <c:v>231.17978571428574</c:v>
                </c:pt>
                <c:pt idx="7">
                  <c:v>202.28231250000005</c:v>
                </c:pt>
              </c:numCache>
            </c:numRef>
          </c:val>
          <c:smooth val="0"/>
        </c:ser>
        <c:ser>
          <c:idx val="5"/>
          <c:order val="5"/>
          <c:tx>
            <c:v>3000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tamaño'!$C$10:$J$10</c:f>
              <c:numCache>
                <c:ptCount val="8"/>
                <c:pt idx="0">
                  <c:v>1941.9102000000005</c:v>
                </c:pt>
                <c:pt idx="1">
                  <c:v>970.9551000000002</c:v>
                </c:pt>
                <c:pt idx="2">
                  <c:v>647.3034000000001</c:v>
                </c:pt>
                <c:pt idx="3">
                  <c:v>485.4775500000001</c:v>
                </c:pt>
                <c:pt idx="4">
                  <c:v>388.38204</c:v>
                </c:pt>
                <c:pt idx="5">
                  <c:v>323.65170000000006</c:v>
                </c:pt>
                <c:pt idx="6">
                  <c:v>277.4157428571429</c:v>
                </c:pt>
                <c:pt idx="7">
                  <c:v>242.73877500000006</c:v>
                </c:pt>
              </c:numCache>
            </c:numRef>
          </c:val>
          <c:smooth val="0"/>
        </c:ser>
        <c:ser>
          <c:idx val="6"/>
          <c:order val="6"/>
          <c:tx>
            <c:v>3500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tamaño'!$C$11:$J$11</c:f>
              <c:numCache>
                <c:ptCount val="8"/>
                <c:pt idx="0">
                  <c:v>2265.5619000000006</c:v>
                </c:pt>
                <c:pt idx="1">
                  <c:v>1132.7809500000003</c:v>
                </c:pt>
                <c:pt idx="2">
                  <c:v>755.1873000000002</c:v>
                </c:pt>
                <c:pt idx="3">
                  <c:v>566.3904750000002</c:v>
                </c:pt>
                <c:pt idx="4">
                  <c:v>453.1123800000001</c:v>
                </c:pt>
                <c:pt idx="5">
                  <c:v>377.5936500000001</c:v>
                </c:pt>
                <c:pt idx="6">
                  <c:v>323.6517</c:v>
                </c:pt>
                <c:pt idx="7">
                  <c:v>283.1952375000001</c:v>
                </c:pt>
              </c:numCache>
            </c:numRef>
          </c:val>
          <c:smooth val="0"/>
        </c:ser>
        <c:ser>
          <c:idx val="7"/>
          <c:order val="7"/>
          <c:tx>
            <c:v>4000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tamaño'!$C$12:$J$12</c:f>
              <c:numCache>
                <c:ptCount val="8"/>
                <c:pt idx="0">
                  <c:v>2589.2136000000005</c:v>
                </c:pt>
                <c:pt idx="1">
                  <c:v>1294.6068000000002</c:v>
                </c:pt>
                <c:pt idx="2">
                  <c:v>863.0712000000001</c:v>
                </c:pt>
                <c:pt idx="3">
                  <c:v>647.3034000000001</c:v>
                </c:pt>
                <c:pt idx="4">
                  <c:v>517.8427200000001</c:v>
                </c:pt>
                <c:pt idx="5">
                  <c:v>431.53560000000004</c:v>
                </c:pt>
                <c:pt idx="6">
                  <c:v>369.88765714285717</c:v>
                </c:pt>
                <c:pt idx="7">
                  <c:v>323.65170000000006</c:v>
                </c:pt>
              </c:numCache>
            </c:numRef>
          </c:val>
          <c:smooth val="0"/>
        </c:ser>
        <c:ser>
          <c:idx val="8"/>
          <c:order val="8"/>
          <c:tx>
            <c:v>4500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tamaño'!$C$13:$J$13</c:f>
              <c:numCache>
                <c:ptCount val="8"/>
                <c:pt idx="0">
                  <c:v>2912.8653000000004</c:v>
                </c:pt>
                <c:pt idx="1">
                  <c:v>1456.4326500000002</c:v>
                </c:pt>
                <c:pt idx="2">
                  <c:v>970.9551000000002</c:v>
                </c:pt>
                <c:pt idx="3">
                  <c:v>728.2163250000001</c:v>
                </c:pt>
                <c:pt idx="4">
                  <c:v>582.5730600000002</c:v>
                </c:pt>
                <c:pt idx="5">
                  <c:v>485.4775500000001</c:v>
                </c:pt>
                <c:pt idx="6">
                  <c:v>416.1236142857143</c:v>
                </c:pt>
                <c:pt idx="7">
                  <c:v>364.10816250000005</c:v>
                </c:pt>
              </c:numCache>
            </c:numRef>
          </c:val>
          <c:smooth val="0"/>
        </c:ser>
        <c:ser>
          <c:idx val="9"/>
          <c:order val="9"/>
          <c:tx>
            <c:v>5000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tamaño'!$C$14:$J$14</c:f>
              <c:numCache>
                <c:ptCount val="8"/>
                <c:pt idx="0">
                  <c:v>3236.5170000000007</c:v>
                </c:pt>
                <c:pt idx="1">
                  <c:v>1618.2585000000004</c:v>
                </c:pt>
                <c:pt idx="2">
                  <c:v>1078.8390000000002</c:v>
                </c:pt>
                <c:pt idx="3">
                  <c:v>809.1292500000002</c:v>
                </c:pt>
                <c:pt idx="4">
                  <c:v>647.3034000000001</c:v>
                </c:pt>
                <c:pt idx="5">
                  <c:v>539.4195000000001</c:v>
                </c:pt>
                <c:pt idx="6">
                  <c:v>462.3595714285715</c:v>
                </c:pt>
                <c:pt idx="7">
                  <c:v>404.5646250000001</c:v>
                </c:pt>
              </c:numCache>
            </c:numRef>
          </c:val>
          <c:smooth val="0"/>
        </c:ser>
        <c:marker val="1"/>
        <c:axId val="39789809"/>
        <c:axId val="13053774"/>
      </c:lineChart>
      <c:catAx>
        <c:axId val="39789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Dureza ppm x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53774"/>
        <c:crosses val="autoZero"/>
        <c:auto val="1"/>
        <c:lblOffset val="100"/>
        <c:noMultiLvlLbl val="0"/>
      </c:catAx>
      <c:valAx>
        <c:axId val="13053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litros por cilindro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89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1625"/>
          <c:w val="0.10175"/>
          <c:h val="0.65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'calc. volumen estanque'!$C$7</c:f>
              <c:strCache>
                <c:ptCount val="1"/>
                <c:pt idx="0">
                  <c:v>litros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'calc. volumen estanque'!$C$8:$C$88</c:f>
              <c:numCache>
                <c:ptCount val="81"/>
                <c:pt idx="0">
                  <c:v>370</c:v>
                </c:pt>
                <c:pt idx="1">
                  <c:v>357.70000000000005</c:v>
                </c:pt>
                <c:pt idx="2">
                  <c:v>345.4000000000001</c:v>
                </c:pt>
                <c:pt idx="3">
                  <c:v>333.10000000000014</c:v>
                </c:pt>
                <c:pt idx="4">
                  <c:v>320.8000000000002</c:v>
                </c:pt>
                <c:pt idx="5">
                  <c:v>308.5000000000002</c:v>
                </c:pt>
                <c:pt idx="6">
                  <c:v>296.2000000000003</c:v>
                </c:pt>
                <c:pt idx="7">
                  <c:v>283.9000000000003</c:v>
                </c:pt>
                <c:pt idx="8">
                  <c:v>271.60000000000036</c:v>
                </c:pt>
                <c:pt idx="9">
                  <c:v>259.3000000000004</c:v>
                </c:pt>
                <c:pt idx="10">
                  <c:v>247.0000000000004</c:v>
                </c:pt>
                <c:pt idx="11">
                  <c:v>234.7000000000004</c:v>
                </c:pt>
                <c:pt idx="12">
                  <c:v>222.40000000000038</c:v>
                </c:pt>
                <c:pt idx="13">
                  <c:v>210.10000000000036</c:v>
                </c:pt>
                <c:pt idx="14">
                  <c:v>197.80000000000035</c:v>
                </c:pt>
                <c:pt idx="15">
                  <c:v>185.50000000000034</c:v>
                </c:pt>
                <c:pt idx="16">
                  <c:v>173.20000000000033</c:v>
                </c:pt>
                <c:pt idx="17">
                  <c:v>160.90000000000032</c:v>
                </c:pt>
                <c:pt idx="18">
                  <c:v>148.6000000000003</c:v>
                </c:pt>
                <c:pt idx="19">
                  <c:v>136.3000000000003</c:v>
                </c:pt>
                <c:pt idx="20">
                  <c:v>124.0000000000003</c:v>
                </c:pt>
                <c:pt idx="21">
                  <c:v>111.7000000000003</c:v>
                </c:pt>
                <c:pt idx="22">
                  <c:v>99.4000000000003</c:v>
                </c:pt>
                <c:pt idx="23">
                  <c:v>87.1000000000003</c:v>
                </c:pt>
                <c:pt idx="24">
                  <c:v>74.80000000000031</c:v>
                </c:pt>
                <c:pt idx="25">
                  <c:v>62.500000000000306</c:v>
                </c:pt>
                <c:pt idx="26">
                  <c:v>50.2000000000003</c:v>
                </c:pt>
                <c:pt idx="27">
                  <c:v>37.9000000000003</c:v>
                </c:pt>
                <c:pt idx="28">
                  <c:v>25.600000000000296</c:v>
                </c:pt>
                <c:pt idx="29">
                  <c:v>13.300000000000296</c:v>
                </c:pt>
                <c:pt idx="30">
                  <c:v>1.000000000000295</c:v>
                </c:pt>
                <c:pt idx="31">
                  <c:v>-11.299999999999706</c:v>
                </c:pt>
                <c:pt idx="32">
                  <c:v>-23.599999999999707</c:v>
                </c:pt>
                <c:pt idx="33">
                  <c:v>-35.89999999999971</c:v>
                </c:pt>
                <c:pt idx="34">
                  <c:v>-48.19999999999971</c:v>
                </c:pt>
                <c:pt idx="35">
                  <c:v>-60.499999999999716</c:v>
                </c:pt>
                <c:pt idx="36">
                  <c:v>-72.79999999999971</c:v>
                </c:pt>
                <c:pt idx="37">
                  <c:v>-85.09999999999971</c:v>
                </c:pt>
                <c:pt idx="38">
                  <c:v>-97.39999999999971</c:v>
                </c:pt>
                <c:pt idx="39">
                  <c:v>-109.6999999999997</c:v>
                </c:pt>
                <c:pt idx="40">
                  <c:v>-121.9999999999997</c:v>
                </c:pt>
                <c:pt idx="41">
                  <c:v>-134.2999999999997</c:v>
                </c:pt>
                <c:pt idx="42">
                  <c:v>-146.5999999999997</c:v>
                </c:pt>
                <c:pt idx="43">
                  <c:v>-158.89999999999972</c:v>
                </c:pt>
                <c:pt idx="44">
                  <c:v>-171.19999999999973</c:v>
                </c:pt>
                <c:pt idx="45">
                  <c:v>-183.49999999999974</c:v>
                </c:pt>
                <c:pt idx="46">
                  <c:v>-195.79999999999976</c:v>
                </c:pt>
                <c:pt idx="47">
                  <c:v>-208.09999999999977</c:v>
                </c:pt>
                <c:pt idx="48">
                  <c:v>-220.39999999999978</c:v>
                </c:pt>
                <c:pt idx="49">
                  <c:v>-232.6999999999998</c:v>
                </c:pt>
                <c:pt idx="50">
                  <c:v>-244.9999999999998</c:v>
                </c:pt>
                <c:pt idx="51">
                  <c:v>-257.2999999999998</c:v>
                </c:pt>
                <c:pt idx="52">
                  <c:v>-269.59999999999974</c:v>
                </c:pt>
                <c:pt idx="53">
                  <c:v>-281.8999999999997</c:v>
                </c:pt>
                <c:pt idx="54">
                  <c:v>-294.19999999999965</c:v>
                </c:pt>
                <c:pt idx="55">
                  <c:v>-306.4999999999996</c:v>
                </c:pt>
                <c:pt idx="56">
                  <c:v>-318.79999999999956</c:v>
                </c:pt>
                <c:pt idx="57">
                  <c:v>-331.0999999999995</c:v>
                </c:pt>
                <c:pt idx="58">
                  <c:v>-343.39999999999947</c:v>
                </c:pt>
                <c:pt idx="59">
                  <c:v>-355.6999999999994</c:v>
                </c:pt>
                <c:pt idx="60">
                  <c:v>-367.9999999999994</c:v>
                </c:pt>
                <c:pt idx="61">
                  <c:v>-380.29999999999933</c:v>
                </c:pt>
                <c:pt idx="62">
                  <c:v>-392.5999999999993</c:v>
                </c:pt>
                <c:pt idx="63">
                  <c:v>-404.89999999999924</c:v>
                </c:pt>
                <c:pt idx="64">
                  <c:v>-417.1999999999992</c:v>
                </c:pt>
                <c:pt idx="65">
                  <c:v>-429.49999999999915</c:v>
                </c:pt>
                <c:pt idx="66">
                  <c:v>-441.7999999999991</c:v>
                </c:pt>
                <c:pt idx="67">
                  <c:v>-454.09999999999906</c:v>
                </c:pt>
                <c:pt idx="68">
                  <c:v>-466.399999999999</c:v>
                </c:pt>
                <c:pt idx="69">
                  <c:v>-478.69999999999897</c:v>
                </c:pt>
                <c:pt idx="70">
                  <c:v>-490.9999999999989</c:v>
                </c:pt>
                <c:pt idx="71">
                  <c:v>-503.2999999999989</c:v>
                </c:pt>
                <c:pt idx="72">
                  <c:v>-515.5999999999989</c:v>
                </c:pt>
                <c:pt idx="73">
                  <c:v>-527.899999999999</c:v>
                </c:pt>
                <c:pt idx="74">
                  <c:v>-540.199999999999</c:v>
                </c:pt>
                <c:pt idx="75">
                  <c:v>-552.4999999999991</c:v>
                </c:pt>
                <c:pt idx="76">
                  <c:v>-564.7999999999992</c:v>
                </c:pt>
                <c:pt idx="77">
                  <c:v>-577.0999999999992</c:v>
                </c:pt>
                <c:pt idx="78">
                  <c:v>-589.3999999999993</c:v>
                </c:pt>
                <c:pt idx="79">
                  <c:v>-601.6999999999994</c:v>
                </c:pt>
                <c:pt idx="80">
                  <c:v>-613.9999999999994</c:v>
                </c:pt>
              </c:numCache>
            </c:numRef>
          </c:val>
          <c:smooth val="0"/>
        </c:ser>
        <c:axId val="43015127"/>
        <c:axId val="39479132"/>
      </c:lineChart>
      <c:catAx>
        <c:axId val="4301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minutos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79132"/>
        <c:crosses val="autoZero"/>
        <c:auto val="1"/>
        <c:lblOffset val="100"/>
        <c:noMultiLvlLbl val="0"/>
      </c:catAx>
      <c:valAx>
        <c:axId val="39479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15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152400</xdr:rowOff>
    </xdr:from>
    <xdr:to>
      <xdr:col>9</xdr:col>
      <xdr:colOff>552450</xdr:colOff>
      <xdr:row>23</xdr:row>
      <xdr:rowOff>142875</xdr:rowOff>
    </xdr:to>
    <xdr:graphicFrame>
      <xdr:nvGraphicFramePr>
        <xdr:cNvPr id="1" name="Chart 3"/>
        <xdr:cNvGraphicFramePr/>
      </xdr:nvGraphicFramePr>
      <xdr:xfrm>
        <a:off x="2371725" y="1285875"/>
        <a:ext cx="4610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40"/>
  <sheetViews>
    <sheetView zoomScale="85" zoomScaleNormal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23" sqref="D23"/>
    </sheetView>
  </sheetViews>
  <sheetFormatPr defaultColWidth="9.140625" defaultRowHeight="12.75"/>
  <cols>
    <col min="1" max="1" width="14.421875" style="0" customWidth="1"/>
    <col min="2" max="2" width="8.28125" style="0" customWidth="1"/>
    <col min="3" max="3" width="11.57421875" style="0" customWidth="1"/>
    <col min="4" max="4" width="10.7109375" style="0" customWidth="1"/>
    <col min="5" max="5" width="10.57421875" style="0" customWidth="1"/>
    <col min="6" max="6" width="9.57421875" style="0" customWidth="1"/>
    <col min="7" max="7" width="11.00390625" style="0" customWidth="1"/>
    <col min="8" max="8" width="14.28125" style="0" customWidth="1"/>
    <col min="9" max="9" width="5.140625" style="0" customWidth="1"/>
    <col min="10" max="10" width="9.28125" style="0" customWidth="1"/>
    <col min="11" max="11" width="13.7109375" style="0" customWidth="1"/>
    <col min="13" max="16384" width="11.421875" style="0" customWidth="1"/>
  </cols>
  <sheetData>
    <row r="1" spans="1:11" ht="12.75">
      <c r="A1" s="20" t="s">
        <v>28</v>
      </c>
      <c r="H1" s="43" t="str">
        <f>IF(H4&lt;20,"15",IF(H4&lt;30,"20",IF(H4&lt;50,"25",IF(H4&lt;120,"40",IF(H4&lt;200,"50",IF(H4&lt;400,"65",IF(H4&lt;800,"100",IF(H4&lt;1800,"150","check"))))))))</f>
        <v>65</v>
      </c>
      <c r="J1" s="9" t="s">
        <v>38</v>
      </c>
      <c r="K1" t="s">
        <v>37</v>
      </c>
    </row>
    <row r="2" spans="4:11" ht="12.75">
      <c r="D2" s="4">
        <v>30</v>
      </c>
      <c r="E2" t="s">
        <v>137</v>
      </c>
      <c r="G2" s="9" t="s">
        <v>83</v>
      </c>
      <c r="H2" s="16">
        <f>D3*(D5+D6)</f>
        <v>2891997.786509386</v>
      </c>
      <c r="J2" s="9" t="s">
        <v>39</v>
      </c>
      <c r="K2" t="s">
        <v>85</v>
      </c>
    </row>
    <row r="3" spans="1:11" ht="12.75">
      <c r="A3" t="s">
        <v>29</v>
      </c>
      <c r="B3" s="4">
        <v>312</v>
      </c>
      <c r="C3" t="s">
        <v>0</v>
      </c>
      <c r="D3" s="19">
        <f>B3*1000/3.7854</f>
        <v>82421.93691551751</v>
      </c>
      <c r="E3" t="s">
        <v>7</v>
      </c>
      <c r="G3" s="9" t="s">
        <v>81</v>
      </c>
      <c r="H3" s="17">
        <v>2</v>
      </c>
      <c r="J3" s="9" t="s">
        <v>70</v>
      </c>
      <c r="K3" t="s">
        <v>86</v>
      </c>
    </row>
    <row r="4" spans="1:11" ht="12.75">
      <c r="A4" t="s">
        <v>30</v>
      </c>
      <c r="B4" s="4">
        <v>21</v>
      </c>
      <c r="C4" t="s">
        <v>1</v>
      </c>
      <c r="D4" s="19">
        <f>IF((B4*24)&gt;B3,B4*1000/3.7854/60,"error")</f>
        <v>92.46050615522798</v>
      </c>
      <c r="E4" t="s">
        <v>6</v>
      </c>
      <c r="G4" s="9" t="s">
        <v>30</v>
      </c>
      <c r="H4" s="7">
        <f>1000*B4/60</f>
        <v>350</v>
      </c>
      <c r="I4" t="s">
        <v>64</v>
      </c>
      <c r="J4" s="9" t="s">
        <v>38</v>
      </c>
      <c r="K4" t="s">
        <v>63</v>
      </c>
    </row>
    <row r="5" spans="1:11" ht="12.75">
      <c r="A5" t="s">
        <v>31</v>
      </c>
      <c r="B5" s="4">
        <v>600</v>
      </c>
      <c r="C5" t="s">
        <v>2</v>
      </c>
      <c r="D5" s="11">
        <f>B5/17.1</f>
        <v>35.08771929824561</v>
      </c>
      <c r="E5" t="s">
        <v>10</v>
      </c>
      <c r="G5" s="9" t="s">
        <v>82</v>
      </c>
      <c r="H5" s="42">
        <f>(H4/60)*(35.7/H1)^2</f>
        <v>1.7596508875739647</v>
      </c>
      <c r="I5" t="s">
        <v>115</v>
      </c>
      <c r="J5" s="9" t="s">
        <v>40</v>
      </c>
      <c r="K5" t="s">
        <v>36</v>
      </c>
    </row>
    <row r="6" spans="1:11" ht="12.75">
      <c r="A6" t="s">
        <v>58</v>
      </c>
      <c r="B6" s="25">
        <v>0</v>
      </c>
      <c r="C6" s="23" t="s">
        <v>2</v>
      </c>
      <c r="D6" s="37">
        <f>IF(B6&gt;5,"rust sentry",B6*4)</f>
        <v>0</v>
      </c>
      <c r="E6" s="23" t="s">
        <v>10</v>
      </c>
      <c r="F6" s="14"/>
      <c r="G6" s="9" t="s">
        <v>84</v>
      </c>
      <c r="H6" s="9" t="str">
        <f>IF(H4&lt;20,"1/2",IF(H4&lt;30,"3/4",IF(H4&lt;50,"1",IF(H4&lt;120,"1 1/2",IF(H4&lt;200,"2",IF(H4&lt;400,"2 1/2",IF(H4&lt;800,"4",IF(H4&lt;1800,"6","check"))))))))</f>
        <v>2 1/2</v>
      </c>
      <c r="I6" t="s">
        <v>65</v>
      </c>
      <c r="J6" s="27" t="s">
        <v>59</v>
      </c>
      <c r="K6" t="s">
        <v>60</v>
      </c>
    </row>
    <row r="7" spans="2:7" ht="12.75">
      <c r="B7" s="14"/>
      <c r="C7" s="14"/>
      <c r="D7" s="14"/>
      <c r="E7" s="14"/>
      <c r="F7" s="24" t="s">
        <v>91</v>
      </c>
      <c r="G7" s="5"/>
    </row>
    <row r="8" spans="2:12" ht="14.25">
      <c r="B8" s="33" t="s">
        <v>140</v>
      </c>
      <c r="C8" s="2" t="s">
        <v>32</v>
      </c>
      <c r="D8" s="12" t="s">
        <v>87</v>
      </c>
      <c r="E8" s="6" t="s">
        <v>90</v>
      </c>
      <c r="F8" s="2" t="s">
        <v>92</v>
      </c>
      <c r="G8" s="12" t="s">
        <v>11</v>
      </c>
      <c r="H8" s="33" t="s">
        <v>34</v>
      </c>
      <c r="I8" s="30"/>
      <c r="J8" s="31" t="s">
        <v>96</v>
      </c>
      <c r="K8" s="32" t="s">
        <v>98</v>
      </c>
      <c r="L8" s="45" t="s">
        <v>120</v>
      </c>
    </row>
    <row r="9" spans="1:171" ht="12.75">
      <c r="A9" s="20" t="s">
        <v>80</v>
      </c>
      <c r="B9" s="62" t="s">
        <v>141</v>
      </c>
      <c r="C9" s="13" t="s">
        <v>89</v>
      </c>
      <c r="D9" s="18" t="s">
        <v>88</v>
      </c>
      <c r="E9" s="15" t="s">
        <v>33</v>
      </c>
      <c r="F9" s="13" t="s">
        <v>93</v>
      </c>
      <c r="G9" s="18" t="s">
        <v>94</v>
      </c>
      <c r="H9" s="18" t="s">
        <v>95</v>
      </c>
      <c r="I9" s="29" t="s">
        <v>35</v>
      </c>
      <c r="J9" s="13" t="s">
        <v>97</v>
      </c>
      <c r="K9" s="15" t="s">
        <v>99</v>
      </c>
      <c r="L9" s="46" t="s">
        <v>119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</row>
    <row r="10" spans="1:13" ht="12.75">
      <c r="A10" t="s">
        <v>3</v>
      </c>
      <c r="B10" s="11">
        <v>5</v>
      </c>
      <c r="C10" s="3">
        <f>30000*B10</f>
        <v>150000</v>
      </c>
      <c r="D10" s="2">
        <v>6</v>
      </c>
      <c r="E10" s="6">
        <v>48</v>
      </c>
      <c r="F10" s="39">
        <f>$D$3/($H$3*L10*2)</f>
        <v>5.133038775877424</v>
      </c>
      <c r="G10" s="1">
        <f>B10*9*($D$3/L10)*$D$2/2.2046</f>
        <v>12572.988020383782</v>
      </c>
      <c r="H10" s="2">
        <f>$H$3*E10</f>
        <v>96</v>
      </c>
      <c r="I10" t="str">
        <f>IF(F10&gt;D10,"No",IF(J10&lt;0,"No",IF(H10&gt;$D$4,"OK","No")))</f>
        <v>OK</v>
      </c>
      <c r="J10" s="22">
        <f>(K10/$H$2)-1</f>
        <v>0.24481423076923114</v>
      </c>
      <c r="K10" s="21">
        <f>C10*$H$3*D10*2</f>
        <v>3600000</v>
      </c>
      <c r="L10" s="47">
        <f>((C10)/($D$5+$D$6)-60)/1.05</f>
        <v>4014.285714285715</v>
      </c>
      <c r="M10" s="28"/>
    </row>
    <row r="11" spans="1:12" ht="12.75">
      <c r="A11" t="s">
        <v>4</v>
      </c>
      <c r="B11" s="11">
        <v>8</v>
      </c>
      <c r="C11" s="3">
        <f>30000*B11</f>
        <v>240000</v>
      </c>
      <c r="D11" s="2">
        <v>6</v>
      </c>
      <c r="E11" s="6">
        <v>48</v>
      </c>
      <c r="F11" s="39">
        <f>$D$3/($H$3*L11*2)</f>
        <v>3.191114814206983</v>
      </c>
      <c r="G11" s="1">
        <f>B11*9*($D$3/L11)*$D$2/2.2046</f>
        <v>12506.228791956968</v>
      </c>
      <c r="H11" s="2">
        <f>$H$3*E11</f>
        <v>96</v>
      </c>
      <c r="I11" t="str">
        <f>IF(F11&gt;D11,"No",IF(J11&lt;0,"No",IF(H11&gt;$D$4,"OK","No")))</f>
        <v>OK</v>
      </c>
      <c r="J11" s="22">
        <f>(K11/$H$2)-1</f>
        <v>0.9917027692307696</v>
      </c>
      <c r="K11" s="21">
        <f>C11*$H$3*D11*2</f>
        <v>5760000</v>
      </c>
      <c r="L11" s="47">
        <f>((C11)/($D$5+$D$6)-60)/1.05</f>
        <v>6457.142857142858</v>
      </c>
    </row>
    <row r="12" spans="1:12" ht="12.75">
      <c r="A12" t="s">
        <v>5</v>
      </c>
      <c r="B12" s="11">
        <v>10</v>
      </c>
      <c r="C12" s="3">
        <f>30000*B12</f>
        <v>300000</v>
      </c>
      <c r="D12" s="2">
        <v>6</v>
      </c>
      <c r="E12" s="6">
        <v>48</v>
      </c>
      <c r="F12" s="39">
        <f>$D$3/($H$3*L12*2)</f>
        <v>2.548381441734198</v>
      </c>
      <c r="G12" s="1">
        <f>B12*9*($D$3/L12)*$D$2/2.2046</f>
        <v>12484.132981370469</v>
      </c>
      <c r="H12" s="2">
        <f>$H$3*E12</f>
        <v>96</v>
      </c>
      <c r="I12" t="str">
        <f>IF(F12&gt;D12,"No",IF(J12&lt;0,"No",IF(H12&gt;$D$4,"OK","No")))</f>
        <v>OK</v>
      </c>
      <c r="J12" s="22">
        <f>(K12/$H$2)-1</f>
        <v>1.4896284615384623</v>
      </c>
      <c r="K12" s="21">
        <f>C12*$H$3*D12*2</f>
        <v>7200000</v>
      </c>
      <c r="L12" s="47">
        <f>((C12)/($D$5+$D$6)-60)/1.05</f>
        <v>8085.714285714287</v>
      </c>
    </row>
    <row r="13" spans="2:6" ht="12.75">
      <c r="B13" s="10"/>
      <c r="C13" s="1"/>
      <c r="D13" s="2"/>
      <c r="E13" s="6"/>
      <c r="F13" s="8"/>
    </row>
    <row r="14" spans="1:12" s="60" customFormat="1" ht="12.75">
      <c r="A14" s="60" t="s">
        <v>13</v>
      </c>
      <c r="B14" s="63">
        <f>25/30</f>
        <v>0.8333333333333334</v>
      </c>
      <c r="C14" s="64">
        <f>30000*B14</f>
        <v>25000</v>
      </c>
      <c r="D14" s="65">
        <v>6</v>
      </c>
      <c r="E14" s="66">
        <v>24</v>
      </c>
      <c r="F14" s="67">
        <f>$D$3/($H$3*L14*2)</f>
        <v>34.737214791980556</v>
      </c>
      <c r="G14" s="68">
        <f>B14*9*($D$3/L14)*$D$2/2.2046</f>
        <v>14181.027539137483</v>
      </c>
      <c r="H14" s="65">
        <f>$H$3*E14</f>
        <v>48</v>
      </c>
      <c r="I14" s="60" t="str">
        <f>IF(F14&gt;D14,"No",IF(J14&lt;0,"No",IF(H14&gt;$D$4,"OK","No")))</f>
        <v>No</v>
      </c>
      <c r="J14" s="69">
        <f>(K14/$H$2)-1</f>
        <v>-0.7925309615384615</v>
      </c>
      <c r="K14" s="70">
        <f>C14*$H$3*D14*2</f>
        <v>600000</v>
      </c>
      <c r="L14" s="71">
        <f>((C14)/($D$5+$D$6)-60)/1.1</f>
        <v>593.1818181818182</v>
      </c>
    </row>
    <row r="15" spans="1:12" ht="12.75">
      <c r="A15" t="s">
        <v>14</v>
      </c>
      <c r="B15" s="10">
        <f>30/30</f>
        <v>1</v>
      </c>
      <c r="C15" s="3">
        <f>30000*B15</f>
        <v>30000</v>
      </c>
      <c r="D15" s="2">
        <v>6</v>
      </c>
      <c r="E15" s="6">
        <v>24</v>
      </c>
      <c r="F15" s="39">
        <f>$D$3/($H$3*L15*2)</f>
        <v>28.5107328953048</v>
      </c>
      <c r="G15" s="1">
        <f>B15*9*($D$3/L15)*$D$2/2.2046</f>
        <v>13966.974293263711</v>
      </c>
      <c r="H15" s="2">
        <f>$H$3*E15</f>
        <v>48</v>
      </c>
      <c r="I15" t="str">
        <f>IF(F15&gt;D15,"No",IF(J15&lt;0,"No",IF(H15&gt;$D$4,"OK","No")))</f>
        <v>No</v>
      </c>
      <c r="J15" s="22">
        <f>(K15/$H$2)-1</f>
        <v>-0.7510371538461538</v>
      </c>
      <c r="K15" s="21">
        <f>C15*$H$3*D15*2</f>
        <v>720000</v>
      </c>
      <c r="L15" s="47">
        <f>((C15)/($D$5+$D$6)-60)/1.1</f>
        <v>722.7272727272727</v>
      </c>
    </row>
    <row r="16" spans="1:12" ht="12.75">
      <c r="A16" t="s">
        <v>15</v>
      </c>
      <c r="B16" s="10">
        <f>45/30</f>
        <v>1.5</v>
      </c>
      <c r="C16" s="3">
        <f>30000*B16</f>
        <v>45000</v>
      </c>
      <c r="D16" s="2">
        <v>6</v>
      </c>
      <c r="E16" s="6">
        <v>24</v>
      </c>
      <c r="F16" s="39">
        <f>$D$3/($H$3*L16*2)</f>
        <v>18.540722005535635</v>
      </c>
      <c r="G16" s="1">
        <f>B16*9*($D$3/L16)*$D$2/2.2046</f>
        <v>13624.226457846198</v>
      </c>
      <c r="H16" s="2">
        <f>$H$3*E16</f>
        <v>48</v>
      </c>
      <c r="I16" t="str">
        <f>IF(F16&gt;D16,"No",IF(J16&lt;0,"No",IF(H16&gt;$D$4,"OK","No")))</f>
        <v>No</v>
      </c>
      <c r="J16" s="22">
        <f>(K16/$H$2)-1</f>
        <v>-0.6265557307692307</v>
      </c>
      <c r="K16" s="21">
        <f>C16*$H$3*D16*2</f>
        <v>1080000</v>
      </c>
      <c r="L16" s="47">
        <f>((C16)/($D$5+$D$6)-60)/1.1</f>
        <v>1111.3636363636365</v>
      </c>
    </row>
    <row r="17" spans="1:12" ht="12.75">
      <c r="A17" t="s">
        <v>16</v>
      </c>
      <c r="B17" s="10">
        <f>75/30</f>
        <v>2.5</v>
      </c>
      <c r="C17" s="3">
        <f>30000*B17</f>
        <v>75000</v>
      </c>
      <c r="D17" s="2">
        <v>6</v>
      </c>
      <c r="E17" s="6">
        <v>24</v>
      </c>
      <c r="F17" s="39">
        <f>$D$3/($H$3*L17*2)</f>
        <v>10.910244357048043</v>
      </c>
      <c r="G17" s="1">
        <f>B17*9*($D$3/L17)*$D$2/2.2046</f>
        <v>13361.906814855172</v>
      </c>
      <c r="H17" s="2">
        <f>$H$3*E17</f>
        <v>48</v>
      </c>
      <c r="I17" t="str">
        <f>IF(F17&gt;D17,"No",IF(J17&lt;0,"No",IF(H17&gt;$D$4,"OK","No")))</f>
        <v>No</v>
      </c>
      <c r="J17" s="22">
        <f>(K17/$H$2)-1</f>
        <v>-0.3775928846153844</v>
      </c>
      <c r="K17" s="21">
        <f>C17*$H$3*D17*2</f>
        <v>1800000</v>
      </c>
      <c r="L17" s="47">
        <f>((C17)/($D$5+$D$6)-60)/1.1</f>
        <v>1888.636363636364</v>
      </c>
    </row>
    <row r="18" spans="2:11" ht="12.75">
      <c r="B18" s="10"/>
      <c r="C18" s="1"/>
      <c r="D18" s="2"/>
      <c r="E18" s="6"/>
      <c r="F18" s="8"/>
      <c r="G18" s="1"/>
      <c r="H18" s="2"/>
      <c r="J18" s="22"/>
      <c r="K18" s="21"/>
    </row>
    <row r="19" spans="1:12" ht="12.75">
      <c r="A19" t="s">
        <v>43</v>
      </c>
      <c r="B19" s="10">
        <f>15/30</f>
        <v>0.5</v>
      </c>
      <c r="C19" s="3">
        <f>30000*B19</f>
        <v>15000</v>
      </c>
      <c r="D19" s="2">
        <v>1</v>
      </c>
      <c r="E19" s="6">
        <v>17</v>
      </c>
      <c r="F19" s="39">
        <f>$H$2/($H$3*C19)</f>
        <v>96.39992621697952</v>
      </c>
      <c r="G19" s="1">
        <f>$H$3*B19*15*($D$3/L19)*$D$2/2.2046</f>
        <v>52646.07811839352</v>
      </c>
      <c r="H19" s="2">
        <f>$H$3*E19</f>
        <v>34</v>
      </c>
      <c r="I19" t="str">
        <f>IF(F19&gt;D19,"No",IF(J19&lt;0,"No",IF(H19&gt;$D$4,"OK","No")))</f>
        <v>No</v>
      </c>
      <c r="J19" s="22">
        <f>(K19/$H$2)-1</f>
        <v>-0.9896265480769231</v>
      </c>
      <c r="K19" s="21">
        <f>C19*$H$3</f>
        <v>30000</v>
      </c>
      <c r="L19" s="47">
        <f>((C19)/($D$5+$D$6)-60)/1.15</f>
        <v>319.56521739130443</v>
      </c>
    </row>
    <row r="20" spans="1:12" ht="12.75">
      <c r="A20" t="s">
        <v>44</v>
      </c>
      <c r="B20" s="10">
        <f>25/30</f>
        <v>0.8333333333333334</v>
      </c>
      <c r="C20" s="3">
        <f>30000*B20</f>
        <v>25000</v>
      </c>
      <c r="D20" s="2">
        <v>1</v>
      </c>
      <c r="E20" s="6">
        <v>17</v>
      </c>
      <c r="F20" s="39">
        <f>$H$2/($H$3*C20)</f>
        <v>57.83995573018772</v>
      </c>
      <c r="G20" s="1">
        <f>$H$3*B20*15*($D$3/L20)*$D$2/2.2046</f>
        <v>49418.7323333579</v>
      </c>
      <c r="H20" s="2">
        <f>$H$3*E20</f>
        <v>34</v>
      </c>
      <c r="I20" t="str">
        <f>IF(F20&gt;D20,"No",IF(J20&lt;0,"No",IF(H20&gt;$D$4,"OK","No")))</f>
        <v>No</v>
      </c>
      <c r="J20" s="22">
        <f>(K20/$H$2)-1</f>
        <v>-0.9827109134615385</v>
      </c>
      <c r="K20" s="21">
        <f>C20*$H$3</f>
        <v>50000</v>
      </c>
      <c r="L20" s="47">
        <f>((C20)/($D$5+$D$6)-60)/1.15</f>
        <v>567.3913043478262</v>
      </c>
    </row>
    <row r="21" spans="1:12" ht="12.75">
      <c r="A21" t="s">
        <v>45</v>
      </c>
      <c r="B21" s="10">
        <f>40/30</f>
        <v>1.3333333333333333</v>
      </c>
      <c r="C21" s="3">
        <f>30000*B21</f>
        <v>40000</v>
      </c>
      <c r="D21" s="2">
        <v>1</v>
      </c>
      <c r="E21" s="6">
        <v>17</v>
      </c>
      <c r="F21" s="39">
        <f>$H$2/($H$3*C21)</f>
        <v>36.14997233136732</v>
      </c>
      <c r="G21" s="1">
        <f>$H$3*B21*15*($D$3/L21)*$D$2/2.2046</f>
        <v>47771.441255579295</v>
      </c>
      <c r="H21" s="2">
        <f>$H$3*E21</f>
        <v>34</v>
      </c>
      <c r="I21" t="str">
        <f>IF(F21&gt;D21,"No",IF(J21&lt;0,"No",IF(H21&gt;$D$4,"OK","No")))</f>
        <v>No</v>
      </c>
      <c r="J21" s="22">
        <f>(K21/$H$2)-1</f>
        <v>-0.9723374615384616</v>
      </c>
      <c r="K21" s="21">
        <f>C21*$H$3</f>
        <v>80000</v>
      </c>
      <c r="L21" s="47">
        <f>((C21)/($D$5+$D$6)-60)/1.15</f>
        <v>939.130434782609</v>
      </c>
    </row>
    <row r="22" spans="1:12" ht="12.75">
      <c r="A22" t="s">
        <v>46</v>
      </c>
      <c r="B22" s="10">
        <f>45/30</f>
        <v>1.5</v>
      </c>
      <c r="C22" s="3">
        <f>30000*B22</f>
        <v>45000</v>
      </c>
      <c r="D22" s="2">
        <v>1</v>
      </c>
      <c r="E22" s="6">
        <v>17</v>
      </c>
      <c r="F22" s="39">
        <f>$H$2/($H$3*C22)</f>
        <v>32.13330873899318</v>
      </c>
      <c r="G22" s="1">
        <f>$H$3*B22*15*($D$3/L22)*$D$2/2.2046</f>
        <v>47478.364928857955</v>
      </c>
      <c r="H22" s="2">
        <f>$H$3*E22</f>
        <v>34</v>
      </c>
      <c r="I22" t="str">
        <f>IF(F22&gt;D22,"No",IF(J22&lt;0,"No",IF(H22&gt;$D$4,"OK","No")))</f>
        <v>No</v>
      </c>
      <c r="J22" s="22">
        <f>(K22/$H$2)-1</f>
        <v>-0.9688796442307692</v>
      </c>
      <c r="K22" s="21">
        <f>C22*$H$3</f>
        <v>90000</v>
      </c>
      <c r="L22" s="47">
        <f>((C22)/($D$5+$D$6)-60)/1.15</f>
        <v>1063.0434782608697</v>
      </c>
    </row>
    <row r="23" spans="1:12" ht="12.75">
      <c r="A23" t="s">
        <v>47</v>
      </c>
      <c r="B23" s="10">
        <f>60/30</f>
        <v>2</v>
      </c>
      <c r="C23" s="3">
        <f>30000*B23</f>
        <v>60000</v>
      </c>
      <c r="D23" s="2">
        <v>1</v>
      </c>
      <c r="E23" s="6">
        <v>17</v>
      </c>
      <c r="F23" s="39">
        <f>$H$2/($H$3*C23)</f>
        <v>24.09998155424488</v>
      </c>
      <c r="G23" s="1">
        <f>$H$3*B23*15*($D$3/L23)*$D$2/2.2046</f>
        <v>46902.869596386954</v>
      </c>
      <c r="H23" s="2">
        <f>$H$3*E23</f>
        <v>34</v>
      </c>
      <c r="I23" t="str">
        <f>IF(F23&gt;D23,"No",IF(J23&lt;0,"No",IF(H23&gt;$D$4,"OK","No")))</f>
        <v>No</v>
      </c>
      <c r="J23" s="22">
        <f>(K23/$H$2)-1</f>
        <v>-0.9585061923076923</v>
      </c>
      <c r="K23" s="21">
        <f>C23*$H$3</f>
        <v>120000</v>
      </c>
      <c r="L23" s="47">
        <f>((C23)/($D$5+$D$6)-60)/1.15</f>
        <v>1434.7826086956525</v>
      </c>
    </row>
    <row r="24" spans="2:6" ht="12.75">
      <c r="B24" s="7"/>
      <c r="C24" s="1"/>
      <c r="E24" s="6" t="s">
        <v>12</v>
      </c>
      <c r="F24" s="26" t="s">
        <v>12</v>
      </c>
    </row>
    <row r="25" spans="1:11" ht="12.75">
      <c r="A25" t="s">
        <v>42</v>
      </c>
      <c r="B25" s="10">
        <f>1.6/30</f>
        <v>0.05333333333333334</v>
      </c>
      <c r="C25" s="1">
        <v>1600</v>
      </c>
      <c r="D25" s="2">
        <v>1</v>
      </c>
      <c r="E25" s="6">
        <v>5</v>
      </c>
      <c r="F25" s="39">
        <f>1/($H$2/($H$3*C25))</f>
        <v>0.0011065015384615388</v>
      </c>
      <c r="G25" s="41" t="s">
        <v>116</v>
      </c>
      <c r="H25" s="2">
        <f>$H$3*E25</f>
        <v>10</v>
      </c>
      <c r="I25" t="str">
        <f>IF(F25&lt;1,"No",IF(J25&lt;0,"No",IF(H25&gt;$D$4,"OK","No")))</f>
        <v>No</v>
      </c>
      <c r="J25" s="22">
        <f>(K25/$H$2)-1</f>
        <v>-0.9988934984615384</v>
      </c>
      <c r="K25" s="21">
        <f>C25*$H$3</f>
        <v>3200</v>
      </c>
    </row>
    <row r="26" spans="3:5" ht="12.75">
      <c r="C26" s="1"/>
      <c r="E26" s="5"/>
    </row>
    <row r="27" spans="1:12" ht="12.75">
      <c r="A27" t="s">
        <v>48</v>
      </c>
      <c r="B27" s="7">
        <v>5</v>
      </c>
      <c r="C27" s="1">
        <v>150000</v>
      </c>
      <c r="D27" s="2">
        <v>1</v>
      </c>
      <c r="E27" s="6">
        <v>48</v>
      </c>
      <c r="F27" s="39">
        <f>$H$2/($H$3*C27)</f>
        <v>9.639992621697953</v>
      </c>
      <c r="G27" s="1">
        <f>$H$3*B27*15*($D$3/L27)*$D$2/2.2046</f>
        <v>45901.38483632174</v>
      </c>
      <c r="H27" s="2">
        <f>$H$3*E27</f>
        <v>96</v>
      </c>
      <c r="I27" t="str">
        <f>IF(F27&gt;D27,"No",IF(J27&lt;0,"No",IF(H27&gt;$D$4,"OK","No")))</f>
        <v>No</v>
      </c>
      <c r="J27" s="22">
        <f>(K27/$H$2)-1</f>
        <v>-0.8962654807692307</v>
      </c>
      <c r="K27" s="21">
        <f>C27*$H$3</f>
        <v>300000</v>
      </c>
      <c r="L27" s="47">
        <f>((C27)/($D$5+$D$6)-60)/1.15</f>
        <v>3665.217391304349</v>
      </c>
    </row>
    <row r="28" spans="1:12" ht="12.75">
      <c r="A28" t="s">
        <v>49</v>
      </c>
      <c r="B28" s="7">
        <v>8</v>
      </c>
      <c r="C28" s="1">
        <v>240000</v>
      </c>
      <c r="D28" s="2">
        <v>1</v>
      </c>
      <c r="E28" s="6">
        <v>48</v>
      </c>
      <c r="F28" s="39">
        <f>$H$2/($H$3*C28)</f>
        <v>6.02499538856122</v>
      </c>
      <c r="G28" s="1">
        <f>$H$3*B28*15*($D$3/L28)*$D$2/2.2046</f>
        <v>45657.66066904924</v>
      </c>
      <c r="H28" s="2">
        <f>$H$3*E28</f>
        <v>96</v>
      </c>
      <c r="I28" t="str">
        <f>IF(F28&gt;D28,"No",IF(J28&lt;0,"No",IF(H28&gt;$D$4,"OK","No")))</f>
        <v>No</v>
      </c>
      <c r="J28" s="22">
        <f>(K28/$H$2)-1</f>
        <v>-0.8340247692307692</v>
      </c>
      <c r="K28" s="21">
        <f>C28*$H$3</f>
        <v>480000</v>
      </c>
      <c r="L28" s="47">
        <f>((C28)/($D$5+$D$6)-60)/1.15</f>
        <v>5895.652173913045</v>
      </c>
    </row>
    <row r="29" spans="1:12" ht="12.75">
      <c r="A29" t="s">
        <v>50</v>
      </c>
      <c r="B29" s="7">
        <v>10</v>
      </c>
      <c r="C29" s="1">
        <v>300000</v>
      </c>
      <c r="D29" s="2">
        <v>1</v>
      </c>
      <c r="E29" s="6">
        <v>48</v>
      </c>
      <c r="F29" s="39">
        <f>$H$2/($H$3*C29)</f>
        <v>4.8199963108489765</v>
      </c>
      <c r="G29" s="1">
        <f>$H$3*B29*15*($D$3/L29)*$D$2/2.2046</f>
        <v>45576.993424050925</v>
      </c>
      <c r="H29" s="2">
        <f>$H$3*E29</f>
        <v>96</v>
      </c>
      <c r="I29" t="str">
        <f>IF(F29&gt;D29,"No",IF(J29&lt;0,"No",IF(H29&gt;$D$4,"OK","No")))</f>
        <v>No</v>
      </c>
      <c r="J29" s="22">
        <f>(K29/$H$2)-1</f>
        <v>-0.7925309615384615</v>
      </c>
      <c r="K29" s="21">
        <f>C29*$H$3</f>
        <v>600000</v>
      </c>
      <c r="L29" s="47">
        <f>((C29)/($D$5+$D$6)-60)/1.15</f>
        <v>7382.608695652176</v>
      </c>
    </row>
    <row r="30" spans="3:5" ht="12.75">
      <c r="C30" s="1"/>
      <c r="D30" s="2"/>
      <c r="E30" s="6"/>
    </row>
    <row r="31" spans="1:12" ht="12.75">
      <c r="A31" t="s">
        <v>51</v>
      </c>
      <c r="B31" s="7">
        <v>8</v>
      </c>
      <c r="C31" s="1">
        <v>240000</v>
      </c>
      <c r="D31" s="2">
        <v>1</v>
      </c>
      <c r="E31" s="6">
        <v>84</v>
      </c>
      <c r="F31" s="8">
        <f>$H$2/($H$3*C31)</f>
        <v>6.02499538856122</v>
      </c>
      <c r="G31" s="1">
        <f>$H$3*B31*15*($D$3/L31)*$D$2/2.2046</f>
        <v>45657.66066904924</v>
      </c>
      <c r="H31" s="2">
        <f>$H$3*E31</f>
        <v>168</v>
      </c>
      <c r="I31" t="str">
        <f>IF(F31&gt;D31,"No",IF(J31&lt;0,"No",IF(H31&gt;$D$4,"OK","No")))</f>
        <v>No</v>
      </c>
      <c r="J31" s="22">
        <f>(K31/$H$2)-1</f>
        <v>-0.8340247692307692</v>
      </c>
      <c r="K31" s="21">
        <f>C31*$H$3</f>
        <v>480000</v>
      </c>
      <c r="L31" s="47">
        <f>((C31)/($D$5+$D$6)-60)/1.15</f>
        <v>5895.652173913045</v>
      </c>
    </row>
    <row r="32" spans="1:12" ht="12.75">
      <c r="A32" t="s">
        <v>52</v>
      </c>
      <c r="B32" s="7">
        <v>10</v>
      </c>
      <c r="C32" s="1">
        <v>300000</v>
      </c>
      <c r="D32" s="2">
        <v>1</v>
      </c>
      <c r="E32" s="6">
        <v>84</v>
      </c>
      <c r="F32" s="8">
        <f>$H$2/($H$3*C32)</f>
        <v>4.8199963108489765</v>
      </c>
      <c r="G32" s="1">
        <f>$H$3*B32*15*($D$3/L32)*$D$2/2.2046</f>
        <v>45576.993424050925</v>
      </c>
      <c r="H32" s="2">
        <f>$H$3*E32</f>
        <v>168</v>
      </c>
      <c r="I32" t="str">
        <f>IF(F32&gt;D32,"No",IF(J32&lt;0,"No",IF(H32&gt;$D$4,"OK","No")))</f>
        <v>No</v>
      </c>
      <c r="J32" s="22">
        <f>(K32/$H$2)-1</f>
        <v>-0.7925309615384615</v>
      </c>
      <c r="K32" s="21">
        <f>C32*$H$3</f>
        <v>600000</v>
      </c>
      <c r="L32" s="47">
        <f>((C32)/($D$5+$D$6)-60)/1.15</f>
        <v>7382.608695652176</v>
      </c>
    </row>
    <row r="33" spans="1:12" ht="12.75">
      <c r="A33" t="s">
        <v>53</v>
      </c>
      <c r="B33" s="7">
        <v>17</v>
      </c>
      <c r="C33" s="1">
        <v>510000</v>
      </c>
      <c r="D33" s="2">
        <v>1</v>
      </c>
      <c r="E33" s="6">
        <v>84</v>
      </c>
      <c r="F33" s="8">
        <f>$H$2/($H$3*C33)</f>
        <v>2.8352919475582214</v>
      </c>
      <c r="G33" s="1">
        <f>$H$3*B33*15*($D$3/L33)*$D$2/2.2046</f>
        <v>45444.74929805367</v>
      </c>
      <c r="H33" s="2">
        <f>$H$3*E33</f>
        <v>168</v>
      </c>
      <c r="I33" t="str">
        <f>IF(F33&gt;D33,"No",IF(J33&lt;0,"No",IF(H33&gt;$D$4,"OK","No")))</f>
        <v>No</v>
      </c>
      <c r="J33" s="22">
        <f>(K33/$H$2)-1</f>
        <v>-0.6473026346153845</v>
      </c>
      <c r="K33" s="21">
        <f>C33*$H$3</f>
        <v>1020000</v>
      </c>
      <c r="L33" s="47">
        <f>((C33)/($D$5+$D$6)-60)/1.15</f>
        <v>12586.956521739134</v>
      </c>
    </row>
    <row r="34" spans="3:5" ht="12.75">
      <c r="C34" s="1"/>
      <c r="E34" s="5"/>
    </row>
    <row r="35" spans="1:12" ht="12.75">
      <c r="A35" t="s">
        <v>54</v>
      </c>
      <c r="B35" s="7">
        <v>10</v>
      </c>
      <c r="C35" s="1">
        <v>300000</v>
      </c>
      <c r="D35" s="2">
        <v>1</v>
      </c>
      <c r="E35" s="6">
        <v>105</v>
      </c>
      <c r="F35" s="8">
        <f>$H$2/($H$3*C35)</f>
        <v>4.8199963108489765</v>
      </c>
      <c r="G35" s="1">
        <f>$H$3*B35*15*($D$3/L35)*$D$2/2.2046</f>
        <v>45576.993424050925</v>
      </c>
      <c r="H35" s="2">
        <f>$H$3*E35</f>
        <v>210</v>
      </c>
      <c r="I35" t="str">
        <f>IF(F35&gt;D35,"No",IF(J35&lt;0,"No",IF(H35&gt;$D$4,"OK","No")))</f>
        <v>No</v>
      </c>
      <c r="J35" s="22">
        <f>(K35/$H$2)-1</f>
        <v>-0.7925309615384615</v>
      </c>
      <c r="K35" s="21">
        <f>C35*$H$3</f>
        <v>600000</v>
      </c>
      <c r="L35" s="47">
        <f>((C35)/($D$5+$D$6)-60)/1.15</f>
        <v>7382.608695652176</v>
      </c>
    </row>
    <row r="36" spans="1:12" ht="12.75">
      <c r="A36" t="s">
        <v>55</v>
      </c>
      <c r="B36" s="7">
        <v>17</v>
      </c>
      <c r="C36" s="1">
        <v>510000</v>
      </c>
      <c r="D36" s="2">
        <v>1</v>
      </c>
      <c r="E36" s="6">
        <v>105</v>
      </c>
      <c r="F36" s="8">
        <f>$H$2/($H$3*C36)</f>
        <v>2.8352919475582214</v>
      </c>
      <c r="G36" s="1">
        <f>$H$3*B36*15*($D$3/L36)*$D$2/2.2046</f>
        <v>45444.74929805367</v>
      </c>
      <c r="H36" s="2">
        <f>$H$3*E36</f>
        <v>210</v>
      </c>
      <c r="I36" t="str">
        <f>IF(F36&gt;D36,"No",IF(J36&lt;0,"No",IF(H36&gt;$D$4,"OK","No")))</f>
        <v>No</v>
      </c>
      <c r="J36" s="22">
        <f>(K36/$H$2)-1</f>
        <v>-0.6473026346153845</v>
      </c>
      <c r="K36" s="21">
        <f>C36*$H$3</f>
        <v>1020000</v>
      </c>
      <c r="L36" s="47">
        <f>((C36)/($D$5+$D$6)-60)/1.15</f>
        <v>12586.956521739134</v>
      </c>
    </row>
    <row r="37" spans="1:12" ht="12.75">
      <c r="A37" t="s">
        <v>56</v>
      </c>
      <c r="B37" s="7">
        <v>25</v>
      </c>
      <c r="C37" s="1">
        <v>750000</v>
      </c>
      <c r="D37" s="2">
        <v>1</v>
      </c>
      <c r="E37" s="6">
        <v>105</v>
      </c>
      <c r="F37" s="8">
        <f>$H$2/($H$3*C37)</f>
        <v>1.9279985243395905</v>
      </c>
      <c r="G37" s="1">
        <f>$H$3*B37*15*($D$3/L37)*$D$2/2.2046</f>
        <v>45384.550102063375</v>
      </c>
      <c r="H37" s="2">
        <f>$H$3*E37</f>
        <v>210</v>
      </c>
      <c r="I37" t="str">
        <f>IF(F37&gt;D37,"No",IF(J37&lt;0,"No",IF(H37&gt;$D$4,"OK","No")))</f>
        <v>No</v>
      </c>
      <c r="J37" s="22">
        <f>(K37/$H$2)-1</f>
        <v>-0.4813274038461537</v>
      </c>
      <c r="K37" s="21">
        <f>C37*$H$3</f>
        <v>1500000</v>
      </c>
      <c r="L37" s="47">
        <f>((C37)/($D$5+$D$6)-60)/1.15</f>
        <v>18534.782608695656</v>
      </c>
    </row>
    <row r="38" ht="12.75">
      <c r="E38" s="5"/>
    </row>
    <row r="39" spans="1:12" ht="12.75">
      <c r="A39" t="s">
        <v>57</v>
      </c>
      <c r="B39" s="7">
        <v>40</v>
      </c>
      <c r="C39" s="1">
        <v>1200000</v>
      </c>
      <c r="D39" s="2">
        <v>3</v>
      </c>
      <c r="E39" s="6">
        <v>271</v>
      </c>
      <c r="F39" s="8">
        <f>$H$2/($H$3*C39*2)</f>
        <v>0.6024995388561221</v>
      </c>
      <c r="G39" s="1">
        <f>$H$3*B39*15*2*F39*$D$2/2.2046</f>
        <v>19677.023858133354</v>
      </c>
      <c r="H39" s="2">
        <f>$H$3*E39</f>
        <v>542</v>
      </c>
      <c r="I39" t="str">
        <f>IF(F39&gt;D39,"No",IF(J39&lt;0,"No",IF(H39&gt;$D$4,"OK","No")))</f>
        <v>OK</v>
      </c>
      <c r="J39" s="22">
        <f>(K39/$H$2)-1</f>
        <v>3.9792569230769246</v>
      </c>
      <c r="K39" s="21">
        <f>C39*$H$3*D39*2</f>
        <v>14400000</v>
      </c>
      <c r="L39" s="47">
        <f>((C39)/($D$5+$D$6)-60)/1.1</f>
        <v>31036.36363636364</v>
      </c>
    </row>
    <row r="40" spans="1:12" ht="12.75">
      <c r="A40" t="s">
        <v>142</v>
      </c>
      <c r="B40" s="7">
        <v>17</v>
      </c>
      <c r="C40" s="1">
        <v>510000</v>
      </c>
      <c r="D40" s="2">
        <v>3</v>
      </c>
      <c r="E40" s="6">
        <v>105</v>
      </c>
      <c r="F40" s="8">
        <f>$H$2/($H$3*C40*2)</f>
        <v>1.4176459737791107</v>
      </c>
      <c r="G40" s="1">
        <f>$H$3*B40*15*2*F40*$D$2/2.2046</f>
        <v>19677.023858133354</v>
      </c>
      <c r="H40" s="2">
        <f>$H$3*E40</f>
        <v>210</v>
      </c>
      <c r="I40" t="str">
        <f>IF(F40&gt;D40,"No",IF(J40&lt;0,"No",IF(H40&gt;$D$4,"OK","No")))</f>
        <v>OK</v>
      </c>
      <c r="J40" s="22">
        <f>(K40/$H$2)-1</f>
        <v>1.116184192307693</v>
      </c>
      <c r="K40" s="21">
        <f>C40*$H$3*D40*2</f>
        <v>6120000</v>
      </c>
      <c r="L40" s="47">
        <f>((C40)/($D$5+$D$6)-60)/1.1</f>
        <v>13159.09090909091</v>
      </c>
    </row>
  </sheetData>
  <printOptions/>
  <pageMargins left="0.75" right="0.75" top="1" bottom="1" header="0" footer="0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40"/>
  <sheetViews>
    <sheetView tabSelected="1" zoomScale="85" zoomScaleNormal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" sqref="J4"/>
    </sheetView>
  </sheetViews>
  <sheetFormatPr defaultColWidth="9.140625" defaultRowHeight="12.75"/>
  <cols>
    <col min="1" max="1" width="14.421875" style="0" customWidth="1"/>
    <col min="2" max="2" width="8.28125" style="0" customWidth="1"/>
    <col min="3" max="3" width="11.57421875" style="0" customWidth="1"/>
    <col min="4" max="4" width="10.7109375" style="0" customWidth="1"/>
    <col min="5" max="5" width="10.57421875" style="0" customWidth="1"/>
    <col min="6" max="6" width="9.57421875" style="0" customWidth="1"/>
    <col min="7" max="7" width="11.00390625" style="0" customWidth="1"/>
    <col min="8" max="8" width="14.28125" style="0" customWidth="1"/>
    <col min="9" max="9" width="5.140625" style="0" customWidth="1"/>
    <col min="10" max="10" width="9.28125" style="0" customWidth="1"/>
    <col min="11" max="11" width="13.7109375" style="0" customWidth="1"/>
    <col min="13" max="16384" width="11.421875" style="0" customWidth="1"/>
  </cols>
  <sheetData>
    <row r="1" spans="1:11" ht="12.75">
      <c r="A1" s="20" t="s">
        <v>28</v>
      </c>
      <c r="H1" s="43" t="str">
        <f>IF(H4&lt;20,"15",IF(H4&lt;30,"20",IF(H4&lt;50,"25",IF(H4&lt;120,"40",IF(H4&lt;200,"50",IF(H4&lt;400,"65",IF(H4&lt;800,"100",IF(H4&lt;1800,"150","check"))))))))</f>
        <v>65</v>
      </c>
      <c r="J1" s="9" t="s">
        <v>38</v>
      </c>
      <c r="K1" t="s">
        <v>37</v>
      </c>
    </row>
    <row r="2" spans="4:11" ht="12.75">
      <c r="D2" s="4">
        <v>30</v>
      </c>
      <c r="E2" t="s">
        <v>143</v>
      </c>
      <c r="G2" s="9" t="s">
        <v>79</v>
      </c>
      <c r="H2" s="16">
        <f>D3*(D5+D6)</f>
        <v>2891997.786509386</v>
      </c>
      <c r="J2" s="9" t="s">
        <v>39</v>
      </c>
      <c r="K2" t="s">
        <v>144</v>
      </c>
    </row>
    <row r="3" spans="1:11" ht="12.75">
      <c r="A3" t="s">
        <v>25</v>
      </c>
      <c r="B3" s="4">
        <v>312</v>
      </c>
      <c r="C3" t="s">
        <v>0</v>
      </c>
      <c r="D3" s="19">
        <f>B3*1000/3.7854</f>
        <v>82421.93691551751</v>
      </c>
      <c r="E3" t="s">
        <v>7</v>
      </c>
      <c r="G3" s="9" t="s">
        <v>23</v>
      </c>
      <c r="H3" s="17">
        <v>2</v>
      </c>
      <c r="J3" s="9" t="s">
        <v>70</v>
      </c>
      <c r="K3" t="s">
        <v>145</v>
      </c>
    </row>
    <row r="4" spans="1:11" ht="12.75">
      <c r="A4" t="s">
        <v>77</v>
      </c>
      <c r="B4" s="4">
        <v>21</v>
      </c>
      <c r="C4" t="s">
        <v>1</v>
      </c>
      <c r="D4" s="19">
        <f>IF((B4*24)&gt;B3,B4*1000/3.7854/60,"error")</f>
        <v>92.46050615522798</v>
      </c>
      <c r="E4" t="s">
        <v>6</v>
      </c>
      <c r="G4" s="9" t="s">
        <v>66</v>
      </c>
      <c r="H4" s="7">
        <f>1000*B4/60</f>
        <v>350</v>
      </c>
      <c r="I4" t="s">
        <v>64</v>
      </c>
      <c r="J4" s="9" t="s">
        <v>38</v>
      </c>
      <c r="K4" t="s">
        <v>63</v>
      </c>
    </row>
    <row r="5" spans="1:11" ht="12.75">
      <c r="A5" t="s">
        <v>17</v>
      </c>
      <c r="B5" s="4">
        <v>600</v>
      </c>
      <c r="C5" t="s">
        <v>2</v>
      </c>
      <c r="D5" s="11">
        <f>B5/17.1</f>
        <v>35.08771929824561</v>
      </c>
      <c r="E5" t="s">
        <v>8</v>
      </c>
      <c r="G5" s="9" t="s">
        <v>117</v>
      </c>
      <c r="H5" s="42">
        <f>(H4/60)*(35.7/H1)^2</f>
        <v>1.7596508875739647</v>
      </c>
      <c r="I5" t="s">
        <v>115</v>
      </c>
      <c r="J5" s="9" t="s">
        <v>40</v>
      </c>
      <c r="K5" t="s">
        <v>36</v>
      </c>
    </row>
    <row r="6" spans="1:11" ht="12.75">
      <c r="A6" t="s">
        <v>58</v>
      </c>
      <c r="B6" s="25">
        <v>0</v>
      </c>
      <c r="C6" s="23" t="s">
        <v>2</v>
      </c>
      <c r="D6" s="37">
        <f>IF(B6&gt;5,"rust sentry",B6*4)</f>
        <v>0</v>
      </c>
      <c r="E6" s="23" t="s">
        <v>8</v>
      </c>
      <c r="F6" s="14"/>
      <c r="G6" s="44" t="s">
        <v>118</v>
      </c>
      <c r="H6" s="9" t="str">
        <f>IF(H4&lt;20,"1/2",IF(H4&lt;30,"3/4",IF(H4&lt;50,"1",IF(H4&lt;120,"1 1/2",IF(H4&lt;200,"2",IF(H4&lt;400,"2 1/2",IF(H4&lt;800,"4",IF(H4&lt;1800,"6","check"))))))))</f>
        <v>2 1/2</v>
      </c>
      <c r="I6" t="s">
        <v>65</v>
      </c>
      <c r="J6" s="27" t="s">
        <v>59</v>
      </c>
      <c r="K6" t="s">
        <v>60</v>
      </c>
    </row>
    <row r="7" spans="2:7" ht="12.75">
      <c r="B7" s="14"/>
      <c r="C7" s="14"/>
      <c r="D7" s="14"/>
      <c r="E7" s="14"/>
      <c r="F7" s="24" t="s">
        <v>41</v>
      </c>
      <c r="G7" s="5"/>
    </row>
    <row r="8" spans="2:12" ht="12.75">
      <c r="B8" s="33" t="s">
        <v>26</v>
      </c>
      <c r="C8" s="2" t="s">
        <v>67</v>
      </c>
      <c r="D8" s="12" t="s">
        <v>68</v>
      </c>
      <c r="E8" s="5" t="s">
        <v>19</v>
      </c>
      <c r="F8" s="2" t="s">
        <v>9</v>
      </c>
      <c r="G8" s="12" t="s">
        <v>20</v>
      </c>
      <c r="H8" s="33" t="s">
        <v>18</v>
      </c>
      <c r="I8" s="30"/>
      <c r="J8" s="31" t="s">
        <v>71</v>
      </c>
      <c r="K8" s="32" t="s">
        <v>61</v>
      </c>
      <c r="L8" s="33" t="s">
        <v>146</v>
      </c>
    </row>
    <row r="9" spans="1:171" ht="12.75">
      <c r="A9" s="20" t="s">
        <v>80</v>
      </c>
      <c r="B9" s="18" t="s">
        <v>27</v>
      </c>
      <c r="C9" s="13" t="s">
        <v>62</v>
      </c>
      <c r="D9" s="18" t="s">
        <v>69</v>
      </c>
      <c r="E9" s="15" t="s">
        <v>6</v>
      </c>
      <c r="F9" s="13" t="s">
        <v>73</v>
      </c>
      <c r="G9" s="18" t="s">
        <v>24</v>
      </c>
      <c r="H9" s="18" t="s">
        <v>22</v>
      </c>
      <c r="I9" s="29" t="s">
        <v>21</v>
      </c>
      <c r="J9" s="13" t="s">
        <v>72</v>
      </c>
      <c r="K9" s="15" t="s">
        <v>78</v>
      </c>
      <c r="L9" s="18" t="s">
        <v>147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</row>
    <row r="10" spans="1:13" ht="12.75">
      <c r="A10" t="s">
        <v>3</v>
      </c>
      <c r="B10" s="11">
        <v>5</v>
      </c>
      <c r="C10" s="3">
        <f>30000*B10</f>
        <v>150000</v>
      </c>
      <c r="D10" s="2">
        <v>6</v>
      </c>
      <c r="E10" s="6">
        <v>48</v>
      </c>
      <c r="F10" s="39">
        <f>$D$3/($H$3*L10*2)</f>
        <v>5.133038775877424</v>
      </c>
      <c r="G10" s="1">
        <f>B10*9*($D$3/L10)*$D$2/2.2046</f>
        <v>12572.988020383782</v>
      </c>
      <c r="H10" s="2">
        <f>$H$3*E10</f>
        <v>96</v>
      </c>
      <c r="I10" t="str">
        <f>IF(F10&gt;D10,"No",IF(J10&lt;0,"No",IF(H10&gt;$D$4,"OK","No")))</f>
        <v>OK</v>
      </c>
      <c r="J10" s="22">
        <f>(K10/$H$2)-1</f>
        <v>0.24481423076923114</v>
      </c>
      <c r="K10" s="21">
        <f>C10*$H$3*D10*2</f>
        <v>3600000</v>
      </c>
      <c r="L10" s="47">
        <f>((C10)/($D$5+$D$6)-60)/1.05</f>
        <v>4014.285714285715</v>
      </c>
      <c r="M10" s="28"/>
    </row>
    <row r="11" spans="1:12" ht="12.75">
      <c r="A11" t="s">
        <v>4</v>
      </c>
      <c r="B11" s="11">
        <v>8</v>
      </c>
      <c r="C11" s="3">
        <f>30000*B11</f>
        <v>240000</v>
      </c>
      <c r="D11" s="2">
        <v>6</v>
      </c>
      <c r="E11" s="6">
        <v>48</v>
      </c>
      <c r="F11" s="39">
        <f>$D$3/($H$3*L11*2)</f>
        <v>3.191114814206983</v>
      </c>
      <c r="G11" s="1">
        <f>B11*9*($D$3/L11)*$D$2/2.2046</f>
        <v>12506.228791956968</v>
      </c>
      <c r="H11" s="2">
        <f>$H$3*E11</f>
        <v>96</v>
      </c>
      <c r="I11" t="str">
        <f>IF(F11&gt;D11,"No",IF(J11&lt;0,"No",IF(H11&gt;$D$4,"OK","No")))</f>
        <v>OK</v>
      </c>
      <c r="J11" s="22">
        <f>(K11/$H$2)-1</f>
        <v>0.9917027692307696</v>
      </c>
      <c r="K11" s="21">
        <f>C11*$H$3*D11*2</f>
        <v>5760000</v>
      </c>
      <c r="L11" s="47">
        <f>((C11)/($D$5+$D$6)-60)/1.05</f>
        <v>6457.142857142858</v>
      </c>
    </row>
    <row r="12" spans="1:12" ht="12.75">
      <c r="A12" t="s">
        <v>5</v>
      </c>
      <c r="B12" s="11">
        <v>10</v>
      </c>
      <c r="C12" s="3">
        <f>30000*B12</f>
        <v>300000</v>
      </c>
      <c r="D12" s="2">
        <v>6</v>
      </c>
      <c r="E12" s="6">
        <v>48</v>
      </c>
      <c r="F12" s="39">
        <f>$D$3/($H$3*L12*2)</f>
        <v>2.548381441734198</v>
      </c>
      <c r="G12" s="1">
        <f>B12*9*($D$3/L12)*$D$2/2.2046</f>
        <v>12484.132981370469</v>
      </c>
      <c r="H12" s="2">
        <f>$H$3*E12</f>
        <v>96</v>
      </c>
      <c r="I12" t="str">
        <f>IF(F12&gt;D12,"No",IF(J12&lt;0,"No",IF(H12&gt;$D$4,"OK","No")))</f>
        <v>OK</v>
      </c>
      <c r="J12" s="22">
        <f>(K12/$H$2)-1</f>
        <v>1.4896284615384623</v>
      </c>
      <c r="K12" s="21">
        <f>C12*$H$3*D12*2</f>
        <v>7200000</v>
      </c>
      <c r="L12" s="47">
        <f>((C12)/($D$5+$D$6)-60)/1.05</f>
        <v>8085.714285714287</v>
      </c>
    </row>
    <row r="13" spans="2:6" ht="12.75">
      <c r="B13" s="10"/>
      <c r="C13" s="1"/>
      <c r="D13" s="2"/>
      <c r="E13" s="6"/>
      <c r="F13" s="8"/>
    </row>
    <row r="14" spans="1:12" s="60" customFormat="1" ht="12.75">
      <c r="A14" s="60" t="s">
        <v>13</v>
      </c>
      <c r="B14" s="63">
        <f>25/30</f>
        <v>0.8333333333333334</v>
      </c>
      <c r="C14" s="64">
        <f>30000*B14</f>
        <v>25000</v>
      </c>
      <c r="D14" s="65">
        <v>6</v>
      </c>
      <c r="E14" s="66">
        <v>24</v>
      </c>
      <c r="F14" s="67">
        <f>$D$3/($H$3*L14*2)</f>
        <v>34.737214791980556</v>
      </c>
      <c r="G14" s="68">
        <f>B14*9*($D$3/L14)*$D$2/2.2046</f>
        <v>14181.027539137483</v>
      </c>
      <c r="H14" s="65">
        <f>$H$3*E14</f>
        <v>48</v>
      </c>
      <c r="I14" s="60" t="str">
        <f>IF(F14&gt;D14,"No",IF(J14&lt;0,"No",IF(H14&gt;$D$4,"OK","No")))</f>
        <v>No</v>
      </c>
      <c r="J14" s="69">
        <f>(K14/$H$2)-1</f>
        <v>-0.7925309615384615</v>
      </c>
      <c r="K14" s="70">
        <f>C14*$H$3*D14*2</f>
        <v>600000</v>
      </c>
      <c r="L14" s="71">
        <f>((C14)/($D$5+$D$6)-60)/1.1</f>
        <v>593.1818181818182</v>
      </c>
    </row>
    <row r="15" spans="1:12" ht="12.75">
      <c r="A15" t="s">
        <v>14</v>
      </c>
      <c r="B15" s="10">
        <f>30/30</f>
        <v>1</v>
      </c>
      <c r="C15" s="3">
        <f>30000*B15</f>
        <v>30000</v>
      </c>
      <c r="D15" s="2">
        <v>6</v>
      </c>
      <c r="E15" s="6">
        <v>24</v>
      </c>
      <c r="F15" s="39">
        <f>$D$3/($H$3*L15*2)</f>
        <v>28.5107328953048</v>
      </c>
      <c r="G15" s="1">
        <f>B15*9*($D$3/L15)*$D$2/2.2046</f>
        <v>13966.974293263711</v>
      </c>
      <c r="H15" s="2">
        <f>$H$3*E15</f>
        <v>48</v>
      </c>
      <c r="I15" t="str">
        <f>IF(F15&gt;D15,"No",IF(J15&lt;0,"No",IF(H15&gt;$D$4,"OK","No")))</f>
        <v>No</v>
      </c>
      <c r="J15" s="22">
        <f>(K15/$H$2)-1</f>
        <v>-0.7510371538461538</v>
      </c>
      <c r="K15" s="21">
        <f>C15*$H$3*D15*2</f>
        <v>720000</v>
      </c>
      <c r="L15" s="47">
        <f>((C15)/($D$5+$D$6)-60)/1.1</f>
        <v>722.7272727272727</v>
      </c>
    </row>
    <row r="16" spans="1:12" ht="12.75">
      <c r="A16" t="s">
        <v>15</v>
      </c>
      <c r="B16" s="10">
        <f>45/30</f>
        <v>1.5</v>
      </c>
      <c r="C16" s="3">
        <f>30000*B16</f>
        <v>45000</v>
      </c>
      <c r="D16" s="2">
        <v>6</v>
      </c>
      <c r="E16" s="6">
        <v>24</v>
      </c>
      <c r="F16" s="39">
        <f>$D$3/($H$3*L16*2)</f>
        <v>18.540722005535635</v>
      </c>
      <c r="G16" s="1">
        <f>B16*9*($D$3/L16)*$D$2/2.2046</f>
        <v>13624.226457846198</v>
      </c>
      <c r="H16" s="2">
        <f>$H$3*E16</f>
        <v>48</v>
      </c>
      <c r="I16" t="str">
        <f>IF(F16&gt;D16,"No",IF(J16&lt;0,"No",IF(H16&gt;$D$4,"OK","No")))</f>
        <v>No</v>
      </c>
      <c r="J16" s="22">
        <f>(K16/$H$2)-1</f>
        <v>-0.6265557307692307</v>
      </c>
      <c r="K16" s="21">
        <f>C16*$H$3*D16*2</f>
        <v>1080000</v>
      </c>
      <c r="L16" s="47">
        <f>((C16)/($D$5+$D$6)-60)/1.1</f>
        <v>1111.3636363636365</v>
      </c>
    </row>
    <row r="17" spans="1:12" ht="12.75">
      <c r="A17" t="s">
        <v>16</v>
      </c>
      <c r="B17" s="10">
        <f>75/30</f>
        <v>2.5</v>
      </c>
      <c r="C17" s="3">
        <f>30000*B17</f>
        <v>75000</v>
      </c>
      <c r="D17" s="2">
        <v>6</v>
      </c>
      <c r="E17" s="6">
        <v>24</v>
      </c>
      <c r="F17" s="39">
        <f>$D$3/($H$3*L17*2)</f>
        <v>10.910244357048043</v>
      </c>
      <c r="G17" s="1">
        <f>B17*9*($D$3/L17)*$D$2/2.2046</f>
        <v>13361.906814855172</v>
      </c>
      <c r="H17" s="2">
        <f>$H$3*E17</f>
        <v>48</v>
      </c>
      <c r="I17" t="str">
        <f>IF(F17&gt;D17,"No",IF(J17&lt;0,"No",IF(H17&gt;$D$4,"OK","No")))</f>
        <v>No</v>
      </c>
      <c r="J17" s="22">
        <f>(K17/$H$2)-1</f>
        <v>-0.3775928846153844</v>
      </c>
      <c r="K17" s="21">
        <f>C17*$H$3*D17*2</f>
        <v>1800000</v>
      </c>
      <c r="L17" s="47">
        <f>((C17)/($D$5+$D$6)-60)/1.1</f>
        <v>1888.636363636364</v>
      </c>
    </row>
    <row r="18" spans="2:11" ht="12.75">
      <c r="B18" s="10"/>
      <c r="C18" s="1"/>
      <c r="D18" s="2"/>
      <c r="E18" s="6"/>
      <c r="F18" s="8"/>
      <c r="G18" s="1"/>
      <c r="H18" s="2"/>
      <c r="J18" s="22"/>
      <c r="K18" s="21"/>
    </row>
    <row r="19" spans="1:12" ht="12.75">
      <c r="A19" t="s">
        <v>43</v>
      </c>
      <c r="B19" s="10">
        <f>15/30</f>
        <v>0.5</v>
      </c>
      <c r="C19" s="3">
        <f>30000*B19</f>
        <v>15000</v>
      </c>
      <c r="D19" s="2">
        <v>1</v>
      </c>
      <c r="E19" s="6">
        <v>17</v>
      </c>
      <c r="F19" s="39">
        <f>$H$2/($H$3*C19)</f>
        <v>96.39992621697952</v>
      </c>
      <c r="G19" s="1">
        <f>$H$3*B19*15*($D$3/L19)*$D$2/2.2046</f>
        <v>52646.07811839352</v>
      </c>
      <c r="H19" s="2">
        <f>$H$3*E19</f>
        <v>34</v>
      </c>
      <c r="I19" t="str">
        <f>IF(F19&gt;D19,"No",IF(J19&lt;0,"No",IF(H19&gt;$D$4,"OK","No")))</f>
        <v>No</v>
      </c>
      <c r="J19" s="22">
        <f>(K19/$H$2)-1</f>
        <v>-0.9896265480769231</v>
      </c>
      <c r="K19" s="21">
        <f>C19*$H$3</f>
        <v>30000</v>
      </c>
      <c r="L19" s="47">
        <f>((C19)/($D$5+$D$6)-60)/1.15</f>
        <v>319.56521739130443</v>
      </c>
    </row>
    <row r="20" spans="1:12" ht="12.75">
      <c r="A20" t="s">
        <v>44</v>
      </c>
      <c r="B20" s="10">
        <f>25/30</f>
        <v>0.8333333333333334</v>
      </c>
      <c r="C20" s="3">
        <f>30000*B20</f>
        <v>25000</v>
      </c>
      <c r="D20" s="2">
        <v>1</v>
      </c>
      <c r="E20" s="6">
        <v>17</v>
      </c>
      <c r="F20" s="39">
        <f>$H$2/($H$3*C20)</f>
        <v>57.83995573018772</v>
      </c>
      <c r="G20" s="1">
        <f>$H$3*B20*15*($D$3/L20)*$D$2/2.2046</f>
        <v>49418.7323333579</v>
      </c>
      <c r="H20" s="2">
        <f>$H$3*E20</f>
        <v>34</v>
      </c>
      <c r="I20" t="str">
        <f>IF(F20&gt;D20,"No",IF(J20&lt;0,"No",IF(H20&gt;$D$4,"OK","No")))</f>
        <v>No</v>
      </c>
      <c r="J20" s="22">
        <f>(K20/$H$2)-1</f>
        <v>-0.9827109134615385</v>
      </c>
      <c r="K20" s="21">
        <f>C20*$H$3</f>
        <v>50000</v>
      </c>
      <c r="L20" s="47">
        <f>((C20)/($D$5+$D$6)-60)/1.15</f>
        <v>567.3913043478262</v>
      </c>
    </row>
    <row r="21" spans="1:12" ht="12.75">
      <c r="A21" t="s">
        <v>45</v>
      </c>
      <c r="B21" s="10">
        <f>40/30</f>
        <v>1.3333333333333333</v>
      </c>
      <c r="C21" s="3">
        <f>30000*B21</f>
        <v>40000</v>
      </c>
      <c r="D21" s="2">
        <v>1</v>
      </c>
      <c r="E21" s="6">
        <v>17</v>
      </c>
      <c r="F21" s="39">
        <f>$H$2/($H$3*C21)</f>
        <v>36.14997233136732</v>
      </c>
      <c r="G21" s="1">
        <f>$H$3*B21*15*($D$3/L21)*$D$2/2.2046</f>
        <v>47771.441255579295</v>
      </c>
      <c r="H21" s="2">
        <f>$H$3*E21</f>
        <v>34</v>
      </c>
      <c r="I21" t="str">
        <f>IF(F21&gt;D21,"No",IF(J21&lt;0,"No",IF(H21&gt;$D$4,"OK","No")))</f>
        <v>No</v>
      </c>
      <c r="J21" s="22">
        <f>(K21/$H$2)-1</f>
        <v>-0.9723374615384616</v>
      </c>
      <c r="K21" s="21">
        <f>C21*$H$3</f>
        <v>80000</v>
      </c>
      <c r="L21" s="47">
        <f>((C21)/($D$5+$D$6)-60)/1.15</f>
        <v>939.130434782609</v>
      </c>
    </row>
    <row r="22" spans="1:12" ht="12.75">
      <c r="A22" t="s">
        <v>46</v>
      </c>
      <c r="B22" s="10">
        <f>45/30</f>
        <v>1.5</v>
      </c>
      <c r="C22" s="3">
        <f>30000*B22</f>
        <v>45000</v>
      </c>
      <c r="D22" s="2">
        <v>1</v>
      </c>
      <c r="E22" s="6">
        <v>17</v>
      </c>
      <c r="F22" s="39">
        <f>$H$2/($H$3*C22)</f>
        <v>32.13330873899318</v>
      </c>
      <c r="G22" s="1">
        <f>$H$3*B22*15*($D$3/L22)*$D$2/2.2046</f>
        <v>47478.364928857955</v>
      </c>
      <c r="H22" s="2">
        <f>$H$3*E22</f>
        <v>34</v>
      </c>
      <c r="I22" t="str">
        <f>IF(F22&gt;D22,"No",IF(J22&lt;0,"No",IF(H22&gt;$D$4,"OK","No")))</f>
        <v>No</v>
      </c>
      <c r="J22" s="22">
        <f>(K22/$H$2)-1</f>
        <v>-0.9688796442307692</v>
      </c>
      <c r="K22" s="21">
        <f>C22*$H$3</f>
        <v>90000</v>
      </c>
      <c r="L22" s="47">
        <f>((C22)/($D$5+$D$6)-60)/1.15</f>
        <v>1063.0434782608697</v>
      </c>
    </row>
    <row r="23" spans="1:12" ht="12.75">
      <c r="A23" t="s">
        <v>47</v>
      </c>
      <c r="B23" s="10">
        <f>60/30</f>
        <v>2</v>
      </c>
      <c r="C23" s="3">
        <f>30000*B23</f>
        <v>60000</v>
      </c>
      <c r="D23" s="2">
        <v>1</v>
      </c>
      <c r="E23" s="6">
        <v>17</v>
      </c>
      <c r="F23" s="39">
        <f>$H$2/($H$3*C23)</f>
        <v>24.09998155424488</v>
      </c>
      <c r="G23" s="1">
        <f>$H$3*B23*15*($D$3/L23)*$D$2/2.2046</f>
        <v>46902.869596386954</v>
      </c>
      <c r="H23" s="2">
        <f>$H$3*E23</f>
        <v>34</v>
      </c>
      <c r="I23" t="str">
        <f>IF(F23&gt;D23,"No",IF(J23&lt;0,"No",IF(H23&gt;$D$4,"OK","No")))</f>
        <v>No</v>
      </c>
      <c r="J23" s="22">
        <f>(K23/$H$2)-1</f>
        <v>-0.9585061923076923</v>
      </c>
      <c r="K23" s="21">
        <f>C23*$H$3</f>
        <v>120000</v>
      </c>
      <c r="L23" s="47">
        <f>((C23)/($D$5+$D$6)-60)/1.15</f>
        <v>1434.7826086956525</v>
      </c>
    </row>
    <row r="24" spans="2:6" ht="12.75">
      <c r="B24" s="7"/>
      <c r="C24" s="1"/>
      <c r="E24" s="6" t="s">
        <v>12</v>
      </c>
      <c r="F24" s="26" t="s">
        <v>12</v>
      </c>
    </row>
    <row r="25" spans="1:11" ht="12.75">
      <c r="A25" t="s">
        <v>42</v>
      </c>
      <c r="B25" s="10">
        <f>1.6/30</f>
        <v>0.05333333333333334</v>
      </c>
      <c r="C25" s="1">
        <v>1600</v>
      </c>
      <c r="D25" s="2">
        <v>1</v>
      </c>
      <c r="E25" s="6">
        <v>5</v>
      </c>
      <c r="F25" s="39">
        <f>1/($H$2/($H$3*C25))</f>
        <v>0.0011065015384615388</v>
      </c>
      <c r="G25" s="41" t="s">
        <v>116</v>
      </c>
      <c r="H25" s="2">
        <f>$H$3*E25</f>
        <v>10</v>
      </c>
      <c r="I25" t="str">
        <f>IF(F25&lt;1,"No",IF(J25&lt;0,"No",IF(H25&gt;$D$4,"OK","No")))</f>
        <v>No</v>
      </c>
      <c r="J25" s="22">
        <f>(K25/$H$2)-1</f>
        <v>-0.9988934984615384</v>
      </c>
      <c r="K25" s="21">
        <f>C25*$H$3</f>
        <v>3200</v>
      </c>
    </row>
    <row r="26" spans="3:5" ht="12.75">
      <c r="C26" s="1"/>
      <c r="E26" s="5"/>
    </row>
    <row r="27" spans="1:12" ht="12.75">
      <c r="A27" t="s">
        <v>48</v>
      </c>
      <c r="B27" s="7">
        <v>5</v>
      </c>
      <c r="C27" s="1">
        <v>150000</v>
      </c>
      <c r="D27" s="2">
        <v>1</v>
      </c>
      <c r="E27" s="6">
        <v>48</v>
      </c>
      <c r="F27" s="39">
        <f>$H$2/($H$3*C27)</f>
        <v>9.639992621697953</v>
      </c>
      <c r="G27" s="1">
        <f>$H$3*B27*15*($D$3/L27)*$D$2/2.2046</f>
        <v>45901.38483632174</v>
      </c>
      <c r="H27" s="2">
        <f>$H$3*E27</f>
        <v>96</v>
      </c>
      <c r="I27" t="str">
        <f>IF(F27&gt;D27,"No",IF(J27&lt;0,"No",IF(H27&gt;$D$4,"OK","No")))</f>
        <v>No</v>
      </c>
      <c r="J27" s="22">
        <f>(K27/$H$2)-1</f>
        <v>-0.8962654807692307</v>
      </c>
      <c r="K27" s="21">
        <f>C27*$H$3</f>
        <v>300000</v>
      </c>
      <c r="L27" s="47">
        <f>((C27)/($D$5+$D$6)-60)/1.15</f>
        <v>3665.217391304349</v>
      </c>
    </row>
    <row r="28" spans="1:12" ht="12.75">
      <c r="A28" t="s">
        <v>49</v>
      </c>
      <c r="B28" s="7">
        <v>8</v>
      </c>
      <c r="C28" s="1">
        <v>240000</v>
      </c>
      <c r="D28" s="2">
        <v>1</v>
      </c>
      <c r="E28" s="6">
        <v>48</v>
      </c>
      <c r="F28" s="39">
        <f>$H$2/($H$3*C28)</f>
        <v>6.02499538856122</v>
      </c>
      <c r="G28" s="1">
        <f>$H$3*B28*15*($D$3/L28)*$D$2/2.2046</f>
        <v>45657.66066904924</v>
      </c>
      <c r="H28" s="2">
        <f>$H$3*E28</f>
        <v>96</v>
      </c>
      <c r="I28" t="str">
        <f>IF(F28&gt;D28,"No",IF(J28&lt;0,"No",IF(H28&gt;$D$4,"OK","No")))</f>
        <v>No</v>
      </c>
      <c r="J28" s="22">
        <f>(K28/$H$2)-1</f>
        <v>-0.8340247692307692</v>
      </c>
      <c r="K28" s="21">
        <f>C28*$H$3</f>
        <v>480000</v>
      </c>
      <c r="L28" s="47">
        <f>((C28)/($D$5+$D$6)-60)/1.15</f>
        <v>5895.652173913045</v>
      </c>
    </row>
    <row r="29" spans="1:12" ht="12.75">
      <c r="A29" t="s">
        <v>50</v>
      </c>
      <c r="B29" s="7">
        <v>10</v>
      </c>
      <c r="C29" s="1">
        <v>300000</v>
      </c>
      <c r="D29" s="2">
        <v>1</v>
      </c>
      <c r="E29" s="6">
        <v>48</v>
      </c>
      <c r="F29" s="39">
        <f>$H$2/($H$3*C29)</f>
        <v>4.8199963108489765</v>
      </c>
      <c r="G29" s="1">
        <f>$H$3*B29*15*($D$3/L29)*$D$2/2.2046</f>
        <v>45576.993424050925</v>
      </c>
      <c r="H29" s="2">
        <f>$H$3*E29</f>
        <v>96</v>
      </c>
      <c r="I29" t="str">
        <f>IF(F29&gt;D29,"No",IF(J29&lt;0,"No",IF(H29&gt;$D$4,"OK","No")))</f>
        <v>No</v>
      </c>
      <c r="J29" s="22">
        <f>(K29/$H$2)-1</f>
        <v>-0.7925309615384615</v>
      </c>
      <c r="K29" s="21">
        <f>C29*$H$3</f>
        <v>600000</v>
      </c>
      <c r="L29" s="47">
        <f>((C29)/($D$5+$D$6)-60)/1.15</f>
        <v>7382.608695652176</v>
      </c>
    </row>
    <row r="30" spans="3:5" ht="12.75">
      <c r="C30" s="1"/>
      <c r="D30" s="2"/>
      <c r="E30" s="6"/>
    </row>
    <row r="31" spans="1:12" ht="12.75">
      <c r="A31" t="s">
        <v>51</v>
      </c>
      <c r="B31" s="7">
        <v>8</v>
      </c>
      <c r="C31" s="1">
        <v>240000</v>
      </c>
      <c r="D31" s="2">
        <v>1</v>
      </c>
      <c r="E31" s="6">
        <v>84</v>
      </c>
      <c r="F31" s="8">
        <f>$H$2/($H$3*C31)</f>
        <v>6.02499538856122</v>
      </c>
      <c r="G31" s="1">
        <f>$H$3*B31*15*($D$3/L31)*$D$2/2.2046</f>
        <v>45657.66066904924</v>
      </c>
      <c r="H31" s="2">
        <f>$H$3*E31</f>
        <v>168</v>
      </c>
      <c r="I31" t="str">
        <f>IF(F31&gt;D31,"No",IF(J31&lt;0,"No",IF(H31&gt;$D$4,"OK","No")))</f>
        <v>No</v>
      </c>
      <c r="J31" s="22">
        <f>(K31/$H$2)-1</f>
        <v>-0.8340247692307692</v>
      </c>
      <c r="K31" s="21">
        <f>C31*$H$3</f>
        <v>480000</v>
      </c>
      <c r="L31" s="47">
        <f>((C31)/($D$5+$D$6)-60)/1.15</f>
        <v>5895.652173913045</v>
      </c>
    </row>
    <row r="32" spans="1:12" ht="12.75">
      <c r="A32" t="s">
        <v>52</v>
      </c>
      <c r="B32" s="7">
        <v>10</v>
      </c>
      <c r="C32" s="1">
        <v>300000</v>
      </c>
      <c r="D32" s="2">
        <v>1</v>
      </c>
      <c r="E32" s="6">
        <v>84</v>
      </c>
      <c r="F32" s="8">
        <f>$H$2/($H$3*C32)</f>
        <v>4.8199963108489765</v>
      </c>
      <c r="G32" s="1">
        <f>$H$3*B32*15*($D$3/L32)*$D$2/2.2046</f>
        <v>45576.993424050925</v>
      </c>
      <c r="H32" s="2">
        <f>$H$3*E32</f>
        <v>168</v>
      </c>
      <c r="I32" t="str">
        <f>IF(F32&gt;D32,"No",IF(J32&lt;0,"No",IF(H32&gt;$D$4,"OK","No")))</f>
        <v>No</v>
      </c>
      <c r="J32" s="22">
        <f>(K32/$H$2)-1</f>
        <v>-0.7925309615384615</v>
      </c>
      <c r="K32" s="21">
        <f>C32*$H$3</f>
        <v>600000</v>
      </c>
      <c r="L32" s="47">
        <f>((C32)/($D$5+$D$6)-60)/1.15</f>
        <v>7382.608695652176</v>
      </c>
    </row>
    <row r="33" spans="1:12" ht="12.75">
      <c r="A33" t="s">
        <v>53</v>
      </c>
      <c r="B33" s="7">
        <v>17</v>
      </c>
      <c r="C33" s="1">
        <v>510000</v>
      </c>
      <c r="D33" s="2">
        <v>1</v>
      </c>
      <c r="E33" s="6">
        <v>84</v>
      </c>
      <c r="F33" s="8">
        <f>$H$2/($H$3*C33)</f>
        <v>2.8352919475582214</v>
      </c>
      <c r="G33" s="1">
        <f>$H$3*B33*15*($D$3/L33)*$D$2/2.2046</f>
        <v>45444.74929805367</v>
      </c>
      <c r="H33" s="2">
        <f>$H$3*E33</f>
        <v>168</v>
      </c>
      <c r="I33" t="str">
        <f>IF(F33&gt;D33,"No",IF(J33&lt;0,"No",IF(H33&gt;$D$4,"OK","No")))</f>
        <v>No</v>
      </c>
      <c r="J33" s="22">
        <f>(K33/$H$2)-1</f>
        <v>-0.6473026346153845</v>
      </c>
      <c r="K33" s="21">
        <f>C33*$H$3</f>
        <v>1020000</v>
      </c>
      <c r="L33" s="47">
        <f>((C33)/($D$5+$D$6)-60)/1.15</f>
        <v>12586.956521739134</v>
      </c>
    </row>
    <row r="34" spans="3:5" ht="12.75">
      <c r="C34" s="1"/>
      <c r="E34" s="5"/>
    </row>
    <row r="35" spans="1:12" ht="12.75">
      <c r="A35" t="s">
        <v>54</v>
      </c>
      <c r="B35" s="7">
        <v>10</v>
      </c>
      <c r="C35" s="1">
        <v>300000</v>
      </c>
      <c r="D35" s="2">
        <v>1</v>
      </c>
      <c r="E35" s="6">
        <v>105</v>
      </c>
      <c r="F35" s="8">
        <f>$H$2/($H$3*C35)</f>
        <v>4.8199963108489765</v>
      </c>
      <c r="G35" s="1">
        <f>$H$3*B35*15*($D$3/L35)*$D$2/2.2046</f>
        <v>45576.993424050925</v>
      </c>
      <c r="H35" s="2">
        <f>$H$3*E35</f>
        <v>210</v>
      </c>
      <c r="I35" t="str">
        <f>IF(F35&gt;D35,"No",IF(J35&lt;0,"No",IF(H35&gt;$D$4,"OK","No")))</f>
        <v>No</v>
      </c>
      <c r="J35" s="22">
        <f>(K35/$H$2)-1</f>
        <v>-0.7925309615384615</v>
      </c>
      <c r="K35" s="21">
        <f>C35*$H$3</f>
        <v>600000</v>
      </c>
      <c r="L35" s="47">
        <f>((C35)/($D$5+$D$6)-60)/1.15</f>
        <v>7382.608695652176</v>
      </c>
    </row>
    <row r="36" spans="1:12" ht="12.75">
      <c r="A36" t="s">
        <v>55</v>
      </c>
      <c r="B36" s="7">
        <v>17</v>
      </c>
      <c r="C36" s="1">
        <v>510000</v>
      </c>
      <c r="D36" s="2">
        <v>1</v>
      </c>
      <c r="E36" s="6">
        <v>105</v>
      </c>
      <c r="F36" s="8">
        <f>$H$2/($H$3*C36)</f>
        <v>2.8352919475582214</v>
      </c>
      <c r="G36" s="1">
        <f>$H$3*B36*15*($D$3/L36)*$D$2/2.2046</f>
        <v>45444.74929805367</v>
      </c>
      <c r="H36" s="2">
        <f>$H$3*E36</f>
        <v>210</v>
      </c>
      <c r="I36" t="str">
        <f>IF(F36&gt;D36,"No",IF(J36&lt;0,"No",IF(H36&gt;$D$4,"OK","No")))</f>
        <v>No</v>
      </c>
      <c r="J36" s="22">
        <f>(K36/$H$2)-1</f>
        <v>-0.6473026346153845</v>
      </c>
      <c r="K36" s="21">
        <f>C36*$H$3</f>
        <v>1020000</v>
      </c>
      <c r="L36" s="47">
        <f>((C36)/($D$5+$D$6)-60)/1.15</f>
        <v>12586.956521739134</v>
      </c>
    </row>
    <row r="37" spans="1:12" ht="12.75">
      <c r="A37" t="s">
        <v>56</v>
      </c>
      <c r="B37" s="7">
        <v>25</v>
      </c>
      <c r="C37" s="1">
        <v>750000</v>
      </c>
      <c r="D37" s="2">
        <v>1</v>
      </c>
      <c r="E37" s="6">
        <v>105</v>
      </c>
      <c r="F37" s="8">
        <f>$H$2/($H$3*C37)</f>
        <v>1.9279985243395905</v>
      </c>
      <c r="G37" s="1">
        <f>$H$3*B37*15*($D$3/L37)*$D$2/2.2046</f>
        <v>45384.550102063375</v>
      </c>
      <c r="H37" s="2">
        <f>$H$3*E37</f>
        <v>210</v>
      </c>
      <c r="I37" t="str">
        <f>IF(F37&gt;D37,"No",IF(J37&lt;0,"No",IF(H37&gt;$D$4,"OK","No")))</f>
        <v>No</v>
      </c>
      <c r="J37" s="22">
        <f>(K37/$H$2)-1</f>
        <v>-0.4813274038461537</v>
      </c>
      <c r="K37" s="21">
        <f>C37*$H$3</f>
        <v>1500000</v>
      </c>
      <c r="L37" s="47">
        <f>((C37)/($D$5+$D$6)-60)/1.15</f>
        <v>18534.782608695656</v>
      </c>
    </row>
    <row r="38" ht="12.75">
      <c r="E38" s="5"/>
    </row>
    <row r="39" spans="1:12" ht="12.75">
      <c r="A39" t="s">
        <v>57</v>
      </c>
      <c r="B39" s="7">
        <v>40</v>
      </c>
      <c r="C39" s="1">
        <v>1200000</v>
      </c>
      <c r="D39" s="2">
        <v>3</v>
      </c>
      <c r="E39" s="6">
        <v>271</v>
      </c>
      <c r="F39" s="8">
        <f>$H$2/($H$3*C39*2)</f>
        <v>0.6024995388561221</v>
      </c>
      <c r="G39" s="1">
        <f>$H$3*B39*15*2*F39*$D$2/2.2046</f>
        <v>19677.023858133354</v>
      </c>
      <c r="H39" s="2">
        <f>$H$3*E39</f>
        <v>542</v>
      </c>
      <c r="I39" t="str">
        <f>IF(F39&gt;D39,"No",IF(J39&lt;0,"No",IF(H39&gt;$D$4,"OK","No")))</f>
        <v>OK</v>
      </c>
      <c r="J39" s="22">
        <f>(K39/$H$2)-1</f>
        <v>3.9792569230769246</v>
      </c>
      <c r="K39" s="21">
        <f>C39*$H$3*D39*2</f>
        <v>14400000</v>
      </c>
      <c r="L39" s="47">
        <f>((C39)/($D$5+$D$6)-60)/1.1</f>
        <v>31036.36363636364</v>
      </c>
    </row>
    <row r="40" spans="1:12" ht="12.75">
      <c r="A40" t="s">
        <v>142</v>
      </c>
      <c r="B40" s="7">
        <v>17</v>
      </c>
      <c r="C40" s="1">
        <v>510000</v>
      </c>
      <c r="D40" s="2">
        <v>3</v>
      </c>
      <c r="E40" s="6">
        <v>105</v>
      </c>
      <c r="F40" s="8">
        <f>$H$2/($H$3*C40*2)</f>
        <v>1.4176459737791107</v>
      </c>
      <c r="G40" s="1">
        <f>$H$3*B40*15*2*F40*$D$2/2.2046</f>
        <v>19677.023858133354</v>
      </c>
      <c r="H40" s="2">
        <f>$H$3*E40</f>
        <v>210</v>
      </c>
      <c r="I40" t="str">
        <f>IF(F40&gt;D40,"No",IF(J40&lt;0,"No",IF(H40&gt;$D$4,"OK","No")))</f>
        <v>OK</v>
      </c>
      <c r="J40" s="22">
        <f>(K40/$H$2)-1</f>
        <v>1.116184192307693</v>
      </c>
      <c r="K40" s="21">
        <f>C40*$H$3*D40*2</f>
        <v>6120000</v>
      </c>
      <c r="L40" s="47">
        <f>((C40)/($D$5+$D$6)-60)/1.1</f>
        <v>13159.09090909091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B5" sqref="B5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14.7109375" style="0" customWidth="1"/>
    <col min="4" max="16384" width="11.421875" style="0" customWidth="1"/>
  </cols>
  <sheetData>
    <row r="2" spans="3:6" ht="12.75">
      <c r="C2">
        <v>25000</v>
      </c>
      <c r="D2">
        <v>30000</v>
      </c>
      <c r="E2">
        <v>45000</v>
      </c>
      <c r="F2">
        <v>75000</v>
      </c>
    </row>
    <row r="3" spans="3:6" ht="12.75">
      <c r="C3" s="59" t="s">
        <v>133</v>
      </c>
      <c r="D3" s="59" t="s">
        <v>134</v>
      </c>
      <c r="E3" s="59" t="s">
        <v>135</v>
      </c>
      <c r="F3" s="59" t="s">
        <v>136</v>
      </c>
    </row>
    <row r="4" spans="3:6" ht="12.75">
      <c r="C4" s="59"/>
      <c r="D4" s="59"/>
      <c r="E4" s="59"/>
      <c r="F4" s="59"/>
    </row>
    <row r="5" spans="1:6" ht="12.75">
      <c r="A5" s="42">
        <f aca="true" t="shared" si="0" ref="A5:A30">B5/17.1</f>
        <v>11.695906432748536</v>
      </c>
      <c r="B5">
        <v>200</v>
      </c>
      <c r="C5" s="47">
        <f aca="true" t="shared" si="1" ref="C5:F9">((C$2)/($A5)-60)/1.15</f>
        <v>1806.5217391304352</v>
      </c>
      <c r="D5" s="47">
        <f t="shared" si="1"/>
        <v>2178.260869565218</v>
      </c>
      <c r="E5" s="47">
        <f t="shared" si="1"/>
        <v>3293.478260869566</v>
      </c>
      <c r="F5" s="47">
        <f t="shared" si="1"/>
        <v>5523.913043478262</v>
      </c>
    </row>
    <row r="6" spans="1:6" ht="12.75">
      <c r="A6" s="42">
        <f t="shared" si="0"/>
        <v>13.157894736842104</v>
      </c>
      <c r="B6">
        <v>225</v>
      </c>
      <c r="C6" s="47">
        <f t="shared" si="1"/>
        <v>1600.0000000000002</v>
      </c>
      <c r="D6" s="47">
        <f t="shared" si="1"/>
        <v>1930.4347826086957</v>
      </c>
      <c r="E6" s="47">
        <f t="shared" si="1"/>
        <v>2921.739130434783</v>
      </c>
      <c r="F6" s="47">
        <f t="shared" si="1"/>
        <v>4904.347826086957</v>
      </c>
    </row>
    <row r="7" spans="1:6" ht="12.75">
      <c r="A7" s="42">
        <f t="shared" si="0"/>
        <v>14.61988304093567</v>
      </c>
      <c r="B7">
        <v>250</v>
      </c>
      <c r="C7" s="47">
        <f t="shared" si="1"/>
        <v>1434.7826086956525</v>
      </c>
      <c r="D7" s="47">
        <f t="shared" si="1"/>
        <v>1732.1739130434787</v>
      </c>
      <c r="E7" s="47">
        <f t="shared" si="1"/>
        <v>2624.347826086957</v>
      </c>
      <c r="F7" s="47">
        <f t="shared" si="1"/>
        <v>4408.695652173914</v>
      </c>
    </row>
    <row r="8" spans="1:6" ht="12.75">
      <c r="A8" s="42">
        <f t="shared" si="0"/>
        <v>16.08187134502924</v>
      </c>
      <c r="B8">
        <v>275</v>
      </c>
      <c r="C8" s="47">
        <f t="shared" si="1"/>
        <v>1299.6047430830042</v>
      </c>
      <c r="D8" s="47">
        <f t="shared" si="1"/>
        <v>1569.9604743083005</v>
      </c>
      <c r="E8" s="47">
        <f t="shared" si="1"/>
        <v>2381.02766798419</v>
      </c>
      <c r="F8" s="47">
        <f t="shared" si="1"/>
        <v>4003.162055335969</v>
      </c>
    </row>
    <row r="9" spans="1:6" ht="12.75">
      <c r="A9" s="42">
        <f t="shared" si="0"/>
        <v>17.543859649122805</v>
      </c>
      <c r="B9">
        <v>300</v>
      </c>
      <c r="C9" s="47">
        <f t="shared" si="1"/>
        <v>1186.9565217391307</v>
      </c>
      <c r="D9" s="47">
        <f t="shared" si="1"/>
        <v>1434.7826086956525</v>
      </c>
      <c r="E9" s="47">
        <f t="shared" si="1"/>
        <v>2178.260869565218</v>
      </c>
      <c r="F9" s="47">
        <f t="shared" si="1"/>
        <v>3665.217391304349</v>
      </c>
    </row>
    <row r="10" spans="1:6" ht="12.75">
      <c r="A10" s="42">
        <f t="shared" si="0"/>
        <v>19.005847953216374</v>
      </c>
      <c r="B10">
        <v>325</v>
      </c>
      <c r="C10" s="47">
        <f aca="true" t="shared" si="2" ref="C10:C31">((C$2)/($A10)-60)/1.15</f>
        <v>1091.6387959866222</v>
      </c>
      <c r="D10" s="47">
        <f aca="true" t="shared" si="3" ref="D10:F30">((D$2)/($A10)-60)/1.15</f>
        <v>1320.4013377926422</v>
      </c>
      <c r="E10" s="47">
        <f t="shared" si="3"/>
        <v>2006.6889632107025</v>
      </c>
      <c r="F10" s="47">
        <f t="shared" si="3"/>
        <v>3379.264214046823</v>
      </c>
    </row>
    <row r="11" spans="1:6" ht="12.75">
      <c r="A11" s="42">
        <f t="shared" si="0"/>
        <v>20.46783625730994</v>
      </c>
      <c r="B11">
        <v>350</v>
      </c>
      <c r="C11" s="47">
        <f t="shared" si="2"/>
        <v>1009.937888198758</v>
      </c>
      <c r="D11" s="47">
        <f t="shared" si="3"/>
        <v>1222.360248447205</v>
      </c>
      <c r="E11" s="47">
        <f t="shared" si="3"/>
        <v>1859.627329192547</v>
      </c>
      <c r="F11" s="47">
        <f t="shared" si="3"/>
        <v>3134.1614906832306</v>
      </c>
    </row>
    <row r="12" spans="1:6" ht="12.75">
      <c r="A12" s="42">
        <f t="shared" si="0"/>
        <v>21.929824561403507</v>
      </c>
      <c r="B12">
        <v>375</v>
      </c>
      <c r="C12" s="47">
        <f t="shared" si="2"/>
        <v>939.1304347826087</v>
      </c>
      <c r="D12" s="47">
        <f t="shared" si="3"/>
        <v>1137.3913043478265</v>
      </c>
      <c r="E12" s="47">
        <f t="shared" si="3"/>
        <v>1732.1739130434785</v>
      </c>
      <c r="F12" s="47">
        <f t="shared" si="3"/>
        <v>2921.7391304347834</v>
      </c>
    </row>
    <row r="13" spans="1:6" ht="12.75">
      <c r="A13" s="42">
        <f t="shared" si="0"/>
        <v>23.391812865497073</v>
      </c>
      <c r="B13">
        <v>400</v>
      </c>
      <c r="C13" s="47">
        <f t="shared" si="2"/>
        <v>877.1739130434785</v>
      </c>
      <c r="D13" s="47">
        <f t="shared" si="3"/>
        <v>1063.0434782608697</v>
      </c>
      <c r="E13" s="47">
        <f t="shared" si="3"/>
        <v>1620.6521739130437</v>
      </c>
      <c r="F13" s="47">
        <f t="shared" si="3"/>
        <v>2735.869565217392</v>
      </c>
    </row>
    <row r="14" spans="1:6" ht="12.75">
      <c r="A14" s="42">
        <f t="shared" si="0"/>
        <v>24.853801169590643</v>
      </c>
      <c r="B14">
        <v>425</v>
      </c>
      <c r="C14" s="47">
        <f t="shared" si="2"/>
        <v>822.5063938618927</v>
      </c>
      <c r="D14" s="47">
        <f t="shared" si="3"/>
        <v>997.4424552429667</v>
      </c>
      <c r="E14" s="47">
        <f t="shared" si="3"/>
        <v>1522.2506393861895</v>
      </c>
      <c r="F14" s="47">
        <f t="shared" si="3"/>
        <v>2571.8670076726344</v>
      </c>
    </row>
    <row r="15" spans="1:6" ht="12.75">
      <c r="A15" s="42">
        <f t="shared" si="0"/>
        <v>26.31578947368421</v>
      </c>
      <c r="B15">
        <v>450</v>
      </c>
      <c r="C15" s="47">
        <f t="shared" si="2"/>
        <v>773.913043478261</v>
      </c>
      <c r="D15" s="47">
        <f t="shared" si="3"/>
        <v>939.1304347826087</v>
      </c>
      <c r="E15" s="47">
        <f t="shared" si="3"/>
        <v>1434.7826086956522</v>
      </c>
      <c r="F15" s="47">
        <f t="shared" si="3"/>
        <v>2426.0869565217395</v>
      </c>
    </row>
    <row r="16" spans="1:6" ht="12.75">
      <c r="A16" s="42">
        <f t="shared" si="0"/>
        <v>27.777777777777775</v>
      </c>
      <c r="B16">
        <v>475</v>
      </c>
      <c r="C16" s="47">
        <f t="shared" si="2"/>
        <v>730.4347826086959</v>
      </c>
      <c r="D16" s="47">
        <f t="shared" si="3"/>
        <v>886.9565217391305</v>
      </c>
      <c r="E16" s="47">
        <f t="shared" si="3"/>
        <v>1356.521739130435</v>
      </c>
      <c r="F16" s="47">
        <f t="shared" si="3"/>
        <v>2295.652173913044</v>
      </c>
    </row>
    <row r="17" spans="1:6" ht="12.75">
      <c r="A17" s="42">
        <f t="shared" si="0"/>
        <v>29.23976608187134</v>
      </c>
      <c r="B17">
        <v>500</v>
      </c>
      <c r="C17" s="47">
        <f t="shared" si="2"/>
        <v>691.3043478260871</v>
      </c>
      <c r="D17" s="47">
        <f t="shared" si="3"/>
        <v>840.0000000000002</v>
      </c>
      <c r="E17" s="47">
        <f t="shared" si="3"/>
        <v>1286.0869565217395</v>
      </c>
      <c r="F17" s="47">
        <f t="shared" si="3"/>
        <v>2178.260869565218</v>
      </c>
    </row>
    <row r="18" spans="1:6" ht="12.75">
      <c r="A18" s="42">
        <f t="shared" si="0"/>
        <v>30.70175438596491</v>
      </c>
      <c r="B18">
        <v>525</v>
      </c>
      <c r="C18" s="47">
        <f t="shared" si="2"/>
        <v>655.9006211180125</v>
      </c>
      <c r="D18" s="47">
        <f t="shared" si="3"/>
        <v>797.5155279503107</v>
      </c>
      <c r="E18" s="47">
        <f t="shared" si="3"/>
        <v>1222.360248447205</v>
      </c>
      <c r="F18" s="47">
        <f t="shared" si="3"/>
        <v>2072.0496894409944</v>
      </c>
    </row>
    <row r="19" spans="1:6" ht="12.75">
      <c r="A19" s="42">
        <f t="shared" si="0"/>
        <v>32.16374269005848</v>
      </c>
      <c r="B19">
        <v>550</v>
      </c>
      <c r="C19" s="47">
        <f t="shared" si="2"/>
        <v>623.715415019763</v>
      </c>
      <c r="D19" s="47">
        <f t="shared" si="3"/>
        <v>758.8932806324111</v>
      </c>
      <c r="E19" s="47">
        <f t="shared" si="3"/>
        <v>1164.426877470356</v>
      </c>
      <c r="F19" s="47">
        <f t="shared" si="3"/>
        <v>1975.4940711462455</v>
      </c>
    </row>
    <row r="20" spans="1:6" ht="12.75">
      <c r="A20" s="42">
        <f t="shared" si="0"/>
        <v>33.62573099415204</v>
      </c>
      <c r="B20">
        <v>575</v>
      </c>
      <c r="C20" s="47">
        <f t="shared" si="2"/>
        <v>594.3289224952741</v>
      </c>
      <c r="D20" s="47">
        <f t="shared" si="3"/>
        <v>723.6294896030247</v>
      </c>
      <c r="E20" s="47">
        <f t="shared" si="3"/>
        <v>1111.5311909262762</v>
      </c>
      <c r="F20" s="47">
        <f t="shared" si="3"/>
        <v>1887.3345935727793</v>
      </c>
    </row>
    <row r="21" spans="1:6" ht="12.75">
      <c r="A21" s="42">
        <f t="shared" si="0"/>
        <v>35.08771929824561</v>
      </c>
      <c r="B21">
        <v>600</v>
      </c>
      <c r="C21" s="47">
        <f t="shared" si="2"/>
        <v>567.3913043478262</v>
      </c>
      <c r="D21" s="47">
        <f t="shared" si="3"/>
        <v>691.3043478260871</v>
      </c>
      <c r="E21" s="47">
        <f t="shared" si="3"/>
        <v>1063.0434782608697</v>
      </c>
      <c r="F21" s="47">
        <f t="shared" si="3"/>
        <v>1806.5217391304352</v>
      </c>
    </row>
    <row r="22" spans="1:6" ht="12.75">
      <c r="A22" s="42">
        <f t="shared" si="0"/>
        <v>36.549707602339176</v>
      </c>
      <c r="B22">
        <v>625</v>
      </c>
      <c r="C22" s="47">
        <f t="shared" si="2"/>
        <v>542.6086956521741</v>
      </c>
      <c r="D22" s="47">
        <f t="shared" si="3"/>
        <v>661.5652173913046</v>
      </c>
      <c r="E22" s="47">
        <f t="shared" si="3"/>
        <v>1018.434782608696</v>
      </c>
      <c r="F22" s="47">
        <f t="shared" si="3"/>
        <v>1732.1739130434787</v>
      </c>
    </row>
    <row r="23" spans="1:6" ht="12.75">
      <c r="A23" s="42">
        <f t="shared" si="0"/>
        <v>38.01169590643275</v>
      </c>
      <c r="B23">
        <v>650</v>
      </c>
      <c r="C23" s="47">
        <f t="shared" si="2"/>
        <v>519.732441471572</v>
      </c>
      <c r="D23" s="47">
        <f t="shared" si="3"/>
        <v>634.113712374582</v>
      </c>
      <c r="E23" s="47">
        <f t="shared" si="3"/>
        <v>977.2575250836121</v>
      </c>
      <c r="F23" s="47">
        <f t="shared" si="3"/>
        <v>1663.5451505016724</v>
      </c>
    </row>
    <row r="24" spans="1:6" ht="12.75">
      <c r="A24" s="42">
        <f t="shared" si="0"/>
        <v>39.473684210526315</v>
      </c>
      <c r="B24">
        <v>675</v>
      </c>
      <c r="C24" s="47">
        <f t="shared" si="2"/>
        <v>498.55072463768124</v>
      </c>
      <c r="D24" s="47">
        <f t="shared" si="3"/>
        <v>608.6956521739131</v>
      </c>
      <c r="E24" s="47">
        <f t="shared" si="3"/>
        <v>939.1304347826087</v>
      </c>
      <c r="F24" s="47">
        <f t="shared" si="3"/>
        <v>1600.0000000000002</v>
      </c>
    </row>
    <row r="25" spans="1:6" ht="12.75">
      <c r="A25" s="42">
        <f t="shared" si="0"/>
        <v>40.93567251461988</v>
      </c>
      <c r="B25">
        <v>700</v>
      </c>
      <c r="C25" s="47">
        <f t="shared" si="2"/>
        <v>478.88198757763985</v>
      </c>
      <c r="D25" s="47">
        <f t="shared" si="3"/>
        <v>585.0931677018634</v>
      </c>
      <c r="E25" s="47">
        <f t="shared" si="3"/>
        <v>903.7267080745344</v>
      </c>
      <c r="F25" s="47">
        <f t="shared" si="3"/>
        <v>1540.993788819876</v>
      </c>
    </row>
    <row r="26" spans="1:6" ht="12.75">
      <c r="A26" s="42">
        <f t="shared" si="0"/>
        <v>42.39766081871345</v>
      </c>
      <c r="B26">
        <v>725</v>
      </c>
      <c r="C26" s="47">
        <f t="shared" si="2"/>
        <v>460.56971514242883</v>
      </c>
      <c r="D26" s="47">
        <f t="shared" si="3"/>
        <v>563.1184407796103</v>
      </c>
      <c r="E26" s="47">
        <f t="shared" si="3"/>
        <v>870.7646176911545</v>
      </c>
      <c r="F26" s="47">
        <f t="shared" si="3"/>
        <v>1486.0569715142433</v>
      </c>
    </row>
    <row r="27" spans="1:6" ht="12.75">
      <c r="A27" s="42">
        <f t="shared" si="0"/>
        <v>43.859649122807014</v>
      </c>
      <c r="B27">
        <v>750</v>
      </c>
      <c r="C27" s="47">
        <f t="shared" si="2"/>
        <v>443.47826086956525</v>
      </c>
      <c r="D27" s="47">
        <f t="shared" si="3"/>
        <v>542.6086956521741</v>
      </c>
      <c r="E27" s="47">
        <f t="shared" si="3"/>
        <v>840.0000000000001</v>
      </c>
      <c r="F27" s="47">
        <f t="shared" si="3"/>
        <v>1434.7826086956525</v>
      </c>
    </row>
    <row r="28" spans="1:6" ht="12.75">
      <c r="A28" s="42">
        <f t="shared" si="0"/>
        <v>45.32163742690058</v>
      </c>
      <c r="B28">
        <v>775</v>
      </c>
      <c r="C28" s="47">
        <f t="shared" si="2"/>
        <v>427.4894810659187</v>
      </c>
      <c r="D28" s="47">
        <f t="shared" si="3"/>
        <v>523.4221598877981</v>
      </c>
      <c r="E28" s="47">
        <f t="shared" si="3"/>
        <v>811.2201963534363</v>
      </c>
      <c r="F28" s="47">
        <f t="shared" si="3"/>
        <v>1386.8162692847127</v>
      </c>
    </row>
    <row r="29" spans="1:6" ht="12.75">
      <c r="A29" s="42">
        <f t="shared" si="0"/>
        <v>46.783625730994146</v>
      </c>
      <c r="B29">
        <v>800</v>
      </c>
      <c r="C29" s="47">
        <f t="shared" si="2"/>
        <v>412.5000000000001</v>
      </c>
      <c r="D29" s="47">
        <f t="shared" si="3"/>
        <v>505.4347826086958</v>
      </c>
      <c r="E29" s="47">
        <f t="shared" si="3"/>
        <v>784.2391304347827</v>
      </c>
      <c r="F29" s="47">
        <f t="shared" si="3"/>
        <v>1341.8478260869567</v>
      </c>
    </row>
    <row r="30" spans="1:6" ht="12.75">
      <c r="A30" s="42">
        <f t="shared" si="0"/>
        <v>48.24561403508771</v>
      </c>
      <c r="B30">
        <v>825</v>
      </c>
      <c r="C30" s="47">
        <f t="shared" si="2"/>
        <v>398.41897233201587</v>
      </c>
      <c r="D30" s="47">
        <f t="shared" si="3"/>
        <v>488.5375494071147</v>
      </c>
      <c r="E30" s="47">
        <f t="shared" si="3"/>
        <v>758.8932806324112</v>
      </c>
      <c r="F30" s="47">
        <f t="shared" si="3"/>
        <v>1299.6047430830042</v>
      </c>
    </row>
    <row r="31" spans="1:6" ht="12.75">
      <c r="A31" s="42">
        <f>B31/17.1</f>
        <v>49.707602339181285</v>
      </c>
      <c r="B31">
        <v>850</v>
      </c>
      <c r="C31" s="47">
        <f t="shared" si="2"/>
        <v>385.1662404092072</v>
      </c>
      <c r="D31" s="47">
        <f>((D$2)/($A31)-60)/1.15</f>
        <v>472.63427109974424</v>
      </c>
      <c r="E31" s="47">
        <f>((E$2)/($A31)-60)/1.15</f>
        <v>735.0383631713556</v>
      </c>
      <c r="F31" s="47">
        <f>((F$2)/($A31)-60)/1.15</f>
        <v>1259.846547314578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P8"/>
  <sheetViews>
    <sheetView workbookViewId="0" topLeftCell="A1">
      <selection activeCell="E8" sqref="E8"/>
    </sheetView>
  </sheetViews>
  <sheetFormatPr defaultColWidth="9.140625" defaultRowHeight="12.75"/>
  <cols>
    <col min="1" max="1" width="4.140625" style="0" customWidth="1"/>
    <col min="2" max="2" width="11.421875" style="0" customWidth="1"/>
    <col min="3" max="3" width="10.140625" style="9" customWidth="1"/>
    <col min="4" max="4" width="8.7109375" style="1" bestFit="1" customWidth="1"/>
    <col min="5" max="14" width="7.7109375" style="0" bestFit="1" customWidth="1"/>
    <col min="15" max="16" width="7.7109375" style="0" customWidth="1"/>
    <col min="17" max="16384" width="11.421875" style="0" customWidth="1"/>
  </cols>
  <sheetData>
    <row r="1" spans="5:14" ht="12.75"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</row>
    <row r="3" spans="3:4" ht="12.75">
      <c r="C3" s="9" t="s">
        <v>100</v>
      </c>
      <c r="D3" s="1">
        <v>401000</v>
      </c>
    </row>
    <row r="4" spans="3:4" ht="12.75">
      <c r="C4" s="9" t="s">
        <v>101</v>
      </c>
      <c r="D4" s="1">
        <v>75000</v>
      </c>
    </row>
    <row r="5" spans="3:16" ht="12.75">
      <c r="C5" s="9" t="s">
        <v>102</v>
      </c>
      <c r="D5" s="41" t="s">
        <v>12</v>
      </c>
      <c r="E5" s="1">
        <v>75000</v>
      </c>
      <c r="F5" s="1"/>
      <c r="G5" s="1">
        <v>75000</v>
      </c>
      <c r="H5" s="1"/>
      <c r="I5" s="1">
        <v>75000</v>
      </c>
      <c r="J5" s="1"/>
      <c r="K5" s="1">
        <v>75000</v>
      </c>
      <c r="L5" s="1"/>
      <c r="M5" s="1">
        <v>75000</v>
      </c>
      <c r="N5" s="1"/>
      <c r="O5" s="1">
        <v>75000</v>
      </c>
      <c r="P5" s="1"/>
    </row>
    <row r="6" spans="3:16" ht="12.75">
      <c r="C6" s="9" t="s">
        <v>103</v>
      </c>
      <c r="E6" s="1"/>
      <c r="F6" s="1">
        <v>75000</v>
      </c>
      <c r="G6" s="1"/>
      <c r="H6" s="1">
        <v>75000</v>
      </c>
      <c r="I6" s="1"/>
      <c r="J6" s="1">
        <v>75000</v>
      </c>
      <c r="K6" s="1"/>
      <c r="L6" s="1">
        <v>75000</v>
      </c>
      <c r="M6" s="1"/>
      <c r="N6" s="1">
        <v>75000</v>
      </c>
      <c r="O6" s="1"/>
      <c r="P6" s="1">
        <v>75000</v>
      </c>
    </row>
    <row r="7" ht="12.75">
      <c r="D7" s="1">
        <f>SUM(E5:P6)</f>
        <v>900000</v>
      </c>
    </row>
    <row r="8" spans="3:16" ht="12.75">
      <c r="C8" s="9" t="s">
        <v>114</v>
      </c>
      <c r="D8" s="1">
        <f>SUM(E8:P8)</f>
        <v>270</v>
      </c>
      <c r="E8">
        <f>2.5*9</f>
        <v>22.5</v>
      </c>
      <c r="F8">
        <f>E8</f>
        <v>22.5</v>
      </c>
      <c r="G8">
        <f aca="true" t="shared" si="0" ref="G8:N8">F8</f>
        <v>22.5</v>
      </c>
      <c r="H8">
        <f t="shared" si="0"/>
        <v>22.5</v>
      </c>
      <c r="I8">
        <f t="shared" si="0"/>
        <v>22.5</v>
      </c>
      <c r="J8">
        <f t="shared" si="0"/>
        <v>22.5</v>
      </c>
      <c r="K8">
        <f t="shared" si="0"/>
        <v>22.5</v>
      </c>
      <c r="L8">
        <f t="shared" si="0"/>
        <v>22.5</v>
      </c>
      <c r="M8">
        <f t="shared" si="0"/>
        <v>22.5</v>
      </c>
      <c r="N8">
        <f t="shared" si="0"/>
        <v>22.5</v>
      </c>
      <c r="O8">
        <f>N8</f>
        <v>22.5</v>
      </c>
      <c r="P8">
        <f>O8</f>
        <v>22.5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C20" sqref="C20"/>
    </sheetView>
  </sheetViews>
  <sheetFormatPr defaultColWidth="9.140625" defaultRowHeight="12.75"/>
  <cols>
    <col min="1" max="1" width="13.8515625" style="0" customWidth="1"/>
    <col min="2" max="2" width="13.8515625" style="34" customWidth="1"/>
    <col min="3" max="3" width="8.7109375" style="34" customWidth="1"/>
    <col min="4" max="11" width="8.7109375" style="0" customWidth="1"/>
    <col min="12" max="16384" width="11.421875" style="0" customWidth="1"/>
  </cols>
  <sheetData>
    <row r="2" ht="12.75">
      <c r="A2" t="s">
        <v>75</v>
      </c>
    </row>
    <row r="4" spans="2:10" s="20" customFormat="1" ht="12.75">
      <c r="B4" s="34" t="s">
        <v>74</v>
      </c>
      <c r="C4" s="34">
        <v>100</v>
      </c>
      <c r="D4" s="20">
        <v>200</v>
      </c>
      <c r="E4" s="20">
        <v>300</v>
      </c>
      <c r="F4" s="20">
        <v>400</v>
      </c>
      <c r="G4" s="20">
        <v>500</v>
      </c>
      <c r="H4" s="20">
        <v>600</v>
      </c>
      <c r="I4" s="20">
        <v>700</v>
      </c>
      <c r="J4" s="20">
        <v>800</v>
      </c>
    </row>
    <row r="5" spans="1:10" ht="12.75">
      <c r="A5" t="s">
        <v>3</v>
      </c>
      <c r="B5" s="34">
        <v>1800000</v>
      </c>
      <c r="C5" s="21">
        <f aca="true" t="shared" si="0" ref="C5:C34">($B5/(C$4/17.1))*3.7854/1000</f>
        <v>1165.1461200000003</v>
      </c>
      <c r="D5" s="21">
        <f aca="true" t="shared" si="1" ref="D5:J7">($B5/(D$4/17.1))*3.7854/1000</f>
        <v>582.5730600000002</v>
      </c>
      <c r="E5" s="21">
        <f t="shared" si="1"/>
        <v>388.38204</v>
      </c>
      <c r="F5" s="21">
        <f t="shared" si="1"/>
        <v>291.2865300000001</v>
      </c>
      <c r="G5" s="21">
        <f t="shared" si="1"/>
        <v>233.02922400000006</v>
      </c>
      <c r="H5" s="21">
        <f t="shared" si="1"/>
        <v>194.19102</v>
      </c>
      <c r="I5" s="21">
        <f t="shared" si="1"/>
        <v>166.4494457142857</v>
      </c>
      <c r="J5" s="21">
        <f t="shared" si="1"/>
        <v>145.64326500000004</v>
      </c>
    </row>
    <row r="6" spans="1:10" ht="12.75">
      <c r="A6" t="s">
        <v>4</v>
      </c>
      <c r="B6" s="34">
        <v>2880000</v>
      </c>
      <c r="C6" s="21">
        <f t="shared" si="0"/>
        <v>1864.2337920000004</v>
      </c>
      <c r="D6" s="21">
        <f t="shared" si="1"/>
        <v>932.1168960000002</v>
      </c>
      <c r="E6" s="21">
        <f t="shared" si="1"/>
        <v>621.4112640000001</v>
      </c>
      <c r="F6" s="21">
        <f t="shared" si="1"/>
        <v>466.0584480000001</v>
      </c>
      <c r="G6" s="21">
        <f t="shared" si="1"/>
        <v>372.84675840000006</v>
      </c>
      <c r="H6" s="21">
        <f t="shared" si="1"/>
        <v>310.70563200000004</v>
      </c>
      <c r="I6" s="21">
        <f t="shared" si="1"/>
        <v>266.3191131428572</v>
      </c>
      <c r="J6" s="21">
        <f t="shared" si="1"/>
        <v>233.02922400000006</v>
      </c>
    </row>
    <row r="7" spans="1:10" ht="12.75">
      <c r="A7" t="s">
        <v>5</v>
      </c>
      <c r="B7" s="34">
        <v>3600000</v>
      </c>
      <c r="C7" s="21">
        <f t="shared" si="0"/>
        <v>2330.2922400000007</v>
      </c>
      <c r="D7" s="21">
        <f t="shared" si="1"/>
        <v>1165.1461200000003</v>
      </c>
      <c r="E7" s="21">
        <f t="shared" si="1"/>
        <v>776.76408</v>
      </c>
      <c r="F7" s="21">
        <f t="shared" si="1"/>
        <v>582.5730600000002</v>
      </c>
      <c r="G7" s="21">
        <f t="shared" si="1"/>
        <v>466.0584480000001</v>
      </c>
      <c r="H7" s="21">
        <f t="shared" si="1"/>
        <v>388.38204</v>
      </c>
      <c r="I7" s="21">
        <f t="shared" si="1"/>
        <v>332.8988914285714</v>
      </c>
      <c r="J7" s="21">
        <f t="shared" si="1"/>
        <v>291.2865300000001</v>
      </c>
    </row>
    <row r="8" ht="12.75">
      <c r="C8" s="21" t="s">
        <v>12</v>
      </c>
    </row>
    <row r="9" spans="1:10" ht="12.75">
      <c r="A9" t="s">
        <v>13</v>
      </c>
      <c r="B9" s="34">
        <v>300000</v>
      </c>
      <c r="C9" s="21">
        <f t="shared" si="0"/>
        <v>194.19102</v>
      </c>
      <c r="D9" s="21">
        <f aca="true" t="shared" si="2" ref="D9:J12">($B9/(D$4/17.1))*3.7854/1000</f>
        <v>97.09551</v>
      </c>
      <c r="E9" s="21">
        <f t="shared" si="2"/>
        <v>64.73034000000001</v>
      </c>
      <c r="F9" s="21">
        <f t="shared" si="2"/>
        <v>48.547755</v>
      </c>
      <c r="G9" s="21">
        <f t="shared" si="2"/>
        <v>38.838204000000005</v>
      </c>
      <c r="H9" s="21">
        <f t="shared" si="2"/>
        <v>32.365170000000006</v>
      </c>
      <c r="I9" s="21">
        <f t="shared" si="2"/>
        <v>27.74157428571429</v>
      </c>
      <c r="J9" s="21">
        <f t="shared" si="2"/>
        <v>24.2738775</v>
      </c>
    </row>
    <row r="10" spans="1:10" ht="12.75">
      <c r="A10" t="s">
        <v>14</v>
      </c>
      <c r="B10" s="34">
        <v>360000</v>
      </c>
      <c r="C10" s="21">
        <f t="shared" si="0"/>
        <v>233.02922400000006</v>
      </c>
      <c r="D10" s="21">
        <f t="shared" si="2"/>
        <v>116.51461200000003</v>
      </c>
      <c r="E10" s="21">
        <f t="shared" si="2"/>
        <v>77.67640800000001</v>
      </c>
      <c r="F10" s="21">
        <f t="shared" si="2"/>
        <v>58.257306000000014</v>
      </c>
      <c r="G10" s="21">
        <f t="shared" si="2"/>
        <v>46.60584480000001</v>
      </c>
      <c r="H10" s="21">
        <f t="shared" si="2"/>
        <v>38.838204000000005</v>
      </c>
      <c r="I10" s="21">
        <f t="shared" si="2"/>
        <v>33.28988914285715</v>
      </c>
      <c r="J10" s="21">
        <f t="shared" si="2"/>
        <v>29.128653000000007</v>
      </c>
    </row>
    <row r="11" spans="1:10" ht="12.75">
      <c r="A11" t="s">
        <v>15</v>
      </c>
      <c r="B11" s="34">
        <v>540000</v>
      </c>
      <c r="C11" s="21">
        <f t="shared" si="0"/>
        <v>349.54383600000006</v>
      </c>
      <c r="D11" s="21">
        <f t="shared" si="2"/>
        <v>174.77191800000003</v>
      </c>
      <c r="E11" s="21">
        <f t="shared" si="2"/>
        <v>116.51461200000003</v>
      </c>
      <c r="F11" s="21">
        <f t="shared" si="2"/>
        <v>87.38595900000001</v>
      </c>
      <c r="G11" s="21">
        <f t="shared" si="2"/>
        <v>69.90876720000001</v>
      </c>
      <c r="H11" s="21">
        <f t="shared" si="2"/>
        <v>58.257306000000014</v>
      </c>
      <c r="I11" s="21">
        <f t="shared" si="2"/>
        <v>49.93483371428572</v>
      </c>
      <c r="J11" s="21">
        <f t="shared" si="2"/>
        <v>43.69297950000001</v>
      </c>
    </row>
    <row r="12" spans="1:10" ht="12.75">
      <c r="A12" t="s">
        <v>16</v>
      </c>
      <c r="B12" s="34">
        <v>900000</v>
      </c>
      <c r="C12" s="21">
        <f t="shared" si="0"/>
        <v>582.5730600000002</v>
      </c>
      <c r="D12" s="21">
        <f t="shared" si="2"/>
        <v>291.2865300000001</v>
      </c>
      <c r="E12" s="21">
        <f t="shared" si="2"/>
        <v>194.19102</v>
      </c>
      <c r="F12" s="21">
        <f t="shared" si="2"/>
        <v>145.64326500000004</v>
      </c>
      <c r="G12" s="21">
        <f t="shared" si="2"/>
        <v>116.51461200000003</v>
      </c>
      <c r="H12" s="21">
        <f t="shared" si="2"/>
        <v>97.09551</v>
      </c>
      <c r="I12" s="21">
        <f t="shared" si="2"/>
        <v>83.22472285714285</v>
      </c>
      <c r="J12" s="21">
        <f t="shared" si="2"/>
        <v>72.82163250000002</v>
      </c>
    </row>
    <row r="13" ht="12.75">
      <c r="C13" s="21" t="s">
        <v>12</v>
      </c>
    </row>
    <row r="14" spans="1:10" ht="12.75">
      <c r="A14" t="s">
        <v>43</v>
      </c>
      <c r="B14" s="34">
        <v>15000</v>
      </c>
      <c r="C14" s="40">
        <f t="shared" si="0"/>
        <v>9.709551000000001</v>
      </c>
      <c r="D14" s="40">
        <f aca="true" t="shared" si="3" ref="D14:J18">($B14/(D$4/17.1))*3.7854/1000</f>
        <v>4.854775500000001</v>
      </c>
      <c r="E14" s="40">
        <f t="shared" si="3"/>
        <v>3.2365170000000005</v>
      </c>
      <c r="F14" s="40">
        <f t="shared" si="3"/>
        <v>2.4273877500000003</v>
      </c>
      <c r="G14" s="40">
        <f t="shared" si="3"/>
        <v>1.9419102000000006</v>
      </c>
      <c r="H14" s="40">
        <f t="shared" si="3"/>
        <v>1.6182585000000003</v>
      </c>
      <c r="I14" s="40">
        <f t="shared" si="3"/>
        <v>1.3870787142857144</v>
      </c>
      <c r="J14" s="40">
        <f t="shared" si="3"/>
        <v>1.2136938750000001</v>
      </c>
    </row>
    <row r="15" spans="1:10" ht="12.75">
      <c r="A15" t="s">
        <v>44</v>
      </c>
      <c r="B15" s="34">
        <v>25000</v>
      </c>
      <c r="C15" s="40">
        <f t="shared" si="0"/>
        <v>16.182585000000003</v>
      </c>
      <c r="D15" s="40">
        <f t="shared" si="3"/>
        <v>8.091292500000002</v>
      </c>
      <c r="E15" s="40">
        <f t="shared" si="3"/>
        <v>5.394195000000001</v>
      </c>
      <c r="F15" s="40">
        <f t="shared" si="3"/>
        <v>4.045646250000001</v>
      </c>
      <c r="G15" s="40">
        <f t="shared" si="3"/>
        <v>3.2365170000000005</v>
      </c>
      <c r="H15" s="40">
        <f t="shared" si="3"/>
        <v>2.6970975000000004</v>
      </c>
      <c r="I15" s="40">
        <f t="shared" si="3"/>
        <v>2.3117978571428575</v>
      </c>
      <c r="J15" s="40">
        <f t="shared" si="3"/>
        <v>2.0228231250000004</v>
      </c>
    </row>
    <row r="16" spans="1:10" ht="12.75">
      <c r="A16" t="s">
        <v>45</v>
      </c>
      <c r="B16" s="34">
        <v>40000</v>
      </c>
      <c r="C16" s="40">
        <f t="shared" si="0"/>
        <v>25.892136000000004</v>
      </c>
      <c r="D16" s="40">
        <f t="shared" si="3"/>
        <v>12.946068000000002</v>
      </c>
      <c r="E16" s="40">
        <f t="shared" si="3"/>
        <v>8.630712</v>
      </c>
      <c r="F16" s="40">
        <f t="shared" si="3"/>
        <v>6.473034000000001</v>
      </c>
      <c r="G16" s="40">
        <f t="shared" si="3"/>
        <v>5.178427200000001</v>
      </c>
      <c r="H16" s="40">
        <f t="shared" si="3"/>
        <v>4.315356</v>
      </c>
      <c r="I16" s="40">
        <f t="shared" si="3"/>
        <v>3.698876571428572</v>
      </c>
      <c r="J16" s="40">
        <f t="shared" si="3"/>
        <v>3.2365170000000005</v>
      </c>
    </row>
    <row r="17" spans="1:10" ht="12.75">
      <c r="A17" t="s">
        <v>46</v>
      </c>
      <c r="B17" s="34">
        <v>45000</v>
      </c>
      <c r="C17" s="40">
        <f t="shared" si="0"/>
        <v>29.128653000000007</v>
      </c>
      <c r="D17" s="40">
        <f t="shared" si="3"/>
        <v>14.564326500000004</v>
      </c>
      <c r="E17" s="40">
        <f t="shared" si="3"/>
        <v>9.709551000000001</v>
      </c>
      <c r="F17" s="40">
        <f t="shared" si="3"/>
        <v>7.282163250000002</v>
      </c>
      <c r="G17" s="40">
        <f t="shared" si="3"/>
        <v>5.825730600000001</v>
      </c>
      <c r="H17" s="40">
        <f t="shared" si="3"/>
        <v>4.854775500000001</v>
      </c>
      <c r="I17" s="40">
        <f t="shared" si="3"/>
        <v>4.161236142857144</v>
      </c>
      <c r="J17" s="40">
        <f t="shared" si="3"/>
        <v>3.641081625000001</v>
      </c>
    </row>
    <row r="18" spans="1:10" ht="12.75">
      <c r="A18" t="s">
        <v>47</v>
      </c>
      <c r="B18" s="34">
        <v>60000</v>
      </c>
      <c r="C18" s="40">
        <f t="shared" si="0"/>
        <v>38.838204000000005</v>
      </c>
      <c r="D18" s="40">
        <f t="shared" si="3"/>
        <v>19.419102000000002</v>
      </c>
      <c r="E18" s="40">
        <f t="shared" si="3"/>
        <v>12.946068000000002</v>
      </c>
      <c r="F18" s="40">
        <f t="shared" si="3"/>
        <v>9.709551000000001</v>
      </c>
      <c r="G18" s="40">
        <f t="shared" si="3"/>
        <v>7.767640800000002</v>
      </c>
      <c r="H18" s="40">
        <f t="shared" si="3"/>
        <v>6.473034000000001</v>
      </c>
      <c r="I18" s="40">
        <f t="shared" si="3"/>
        <v>5.5483148571428575</v>
      </c>
      <c r="J18" s="40">
        <f t="shared" si="3"/>
        <v>4.854775500000001</v>
      </c>
    </row>
    <row r="19" ht="12.75">
      <c r="C19" s="21" t="s">
        <v>12</v>
      </c>
    </row>
    <row r="20" spans="1:10" ht="12.75">
      <c r="A20" t="s">
        <v>42</v>
      </c>
      <c r="B20" s="34">
        <v>1600</v>
      </c>
      <c r="C20" s="21">
        <f>($B20/(C$4/17.1))*3.7854</f>
        <v>1035.6854400000002</v>
      </c>
      <c r="D20" s="21">
        <f>($B20/(D$4/17.1))*3.7854</f>
        <v>517.8427200000001</v>
      </c>
      <c r="E20" s="21">
        <f aca="true" t="shared" si="4" ref="E20:J20">($B20/(E$4/17.1))*3.7854</f>
        <v>345.22848000000005</v>
      </c>
      <c r="F20" s="21">
        <f t="shared" si="4"/>
        <v>258.92136000000005</v>
      </c>
      <c r="G20" s="21">
        <f t="shared" si="4"/>
        <v>207.13708800000003</v>
      </c>
      <c r="H20" s="21">
        <f t="shared" si="4"/>
        <v>172.61424000000002</v>
      </c>
      <c r="I20" s="21">
        <f t="shared" si="4"/>
        <v>147.95506285714288</v>
      </c>
      <c r="J20" s="21">
        <f t="shared" si="4"/>
        <v>129.46068000000002</v>
      </c>
    </row>
    <row r="21" ht="12.75">
      <c r="C21" s="21" t="s">
        <v>12</v>
      </c>
    </row>
    <row r="22" spans="1:10" ht="12.75">
      <c r="A22" t="s">
        <v>48</v>
      </c>
      <c r="B22" s="34">
        <v>150000</v>
      </c>
      <c r="C22" s="21">
        <f t="shared" si="0"/>
        <v>97.09551</v>
      </c>
      <c r="D22" s="21">
        <f aca="true" t="shared" si="5" ref="D22:J24">($B22/(D$4/17.1))*3.7854/1000</f>
        <v>48.547755</v>
      </c>
      <c r="E22" s="21">
        <f t="shared" si="5"/>
        <v>32.365170000000006</v>
      </c>
      <c r="F22" s="21">
        <f t="shared" si="5"/>
        <v>24.2738775</v>
      </c>
      <c r="G22" s="21">
        <f t="shared" si="5"/>
        <v>19.419102000000002</v>
      </c>
      <c r="H22" s="21">
        <f t="shared" si="5"/>
        <v>16.182585000000003</v>
      </c>
      <c r="I22" s="21">
        <f t="shared" si="5"/>
        <v>13.870787142857145</v>
      </c>
      <c r="J22" s="21">
        <f t="shared" si="5"/>
        <v>12.13693875</v>
      </c>
    </row>
    <row r="23" spans="1:10" ht="12.75">
      <c r="A23" t="s">
        <v>49</v>
      </c>
      <c r="B23" s="34">
        <v>240000</v>
      </c>
      <c r="C23" s="21">
        <f t="shared" si="0"/>
        <v>155.35281600000002</v>
      </c>
      <c r="D23" s="21">
        <f t="shared" si="5"/>
        <v>77.67640800000001</v>
      </c>
      <c r="E23" s="21">
        <f t="shared" si="5"/>
        <v>51.78427200000001</v>
      </c>
      <c r="F23" s="21">
        <f t="shared" si="5"/>
        <v>38.838204000000005</v>
      </c>
      <c r="G23" s="21">
        <f t="shared" si="5"/>
        <v>31.07056320000001</v>
      </c>
      <c r="H23" s="21">
        <f t="shared" si="5"/>
        <v>25.892136000000004</v>
      </c>
      <c r="I23" s="21">
        <f t="shared" si="5"/>
        <v>22.19325942857143</v>
      </c>
      <c r="J23" s="21">
        <f t="shared" si="5"/>
        <v>19.419102000000002</v>
      </c>
    </row>
    <row r="24" spans="1:10" ht="12.75">
      <c r="A24" t="s">
        <v>50</v>
      </c>
      <c r="B24" s="34">
        <v>300000</v>
      </c>
      <c r="C24" s="21">
        <f t="shared" si="0"/>
        <v>194.19102</v>
      </c>
      <c r="D24" s="21">
        <f t="shared" si="5"/>
        <v>97.09551</v>
      </c>
      <c r="E24" s="21">
        <f t="shared" si="5"/>
        <v>64.73034000000001</v>
      </c>
      <c r="F24" s="21">
        <f t="shared" si="5"/>
        <v>48.547755</v>
      </c>
      <c r="G24" s="21">
        <f t="shared" si="5"/>
        <v>38.838204000000005</v>
      </c>
      <c r="H24" s="21">
        <f t="shared" si="5"/>
        <v>32.365170000000006</v>
      </c>
      <c r="I24" s="21">
        <f t="shared" si="5"/>
        <v>27.74157428571429</v>
      </c>
      <c r="J24" s="21">
        <f t="shared" si="5"/>
        <v>24.2738775</v>
      </c>
    </row>
    <row r="25" ht="12.75">
      <c r="C25" s="21" t="s">
        <v>12</v>
      </c>
    </row>
    <row r="26" spans="1:10" ht="12.75">
      <c r="A26" t="s">
        <v>51</v>
      </c>
      <c r="B26" s="34">
        <v>240000</v>
      </c>
      <c r="C26" s="21">
        <f t="shared" si="0"/>
        <v>155.35281600000002</v>
      </c>
      <c r="D26" s="21">
        <f aca="true" t="shared" si="6" ref="D26:J28">($B26/(D$4/17.1))*3.7854/1000</f>
        <v>77.67640800000001</v>
      </c>
      <c r="E26" s="21">
        <f t="shared" si="6"/>
        <v>51.78427200000001</v>
      </c>
      <c r="F26" s="21">
        <f t="shared" si="6"/>
        <v>38.838204000000005</v>
      </c>
      <c r="G26" s="21">
        <f t="shared" si="6"/>
        <v>31.07056320000001</v>
      </c>
      <c r="H26" s="21">
        <f t="shared" si="6"/>
        <v>25.892136000000004</v>
      </c>
      <c r="I26" s="21">
        <f t="shared" si="6"/>
        <v>22.19325942857143</v>
      </c>
      <c r="J26" s="21">
        <f t="shared" si="6"/>
        <v>19.419102000000002</v>
      </c>
    </row>
    <row r="27" spans="1:10" ht="12.75">
      <c r="A27" t="s">
        <v>52</v>
      </c>
      <c r="B27" s="34">
        <v>300000</v>
      </c>
      <c r="C27" s="21">
        <f t="shared" si="0"/>
        <v>194.19102</v>
      </c>
      <c r="D27" s="21">
        <f t="shared" si="6"/>
        <v>97.09551</v>
      </c>
      <c r="E27" s="21">
        <f t="shared" si="6"/>
        <v>64.73034000000001</v>
      </c>
      <c r="F27" s="21">
        <f t="shared" si="6"/>
        <v>48.547755</v>
      </c>
      <c r="G27" s="21">
        <f t="shared" si="6"/>
        <v>38.838204000000005</v>
      </c>
      <c r="H27" s="21">
        <f t="shared" si="6"/>
        <v>32.365170000000006</v>
      </c>
      <c r="I27" s="21">
        <f t="shared" si="6"/>
        <v>27.74157428571429</v>
      </c>
      <c r="J27" s="21">
        <f t="shared" si="6"/>
        <v>24.2738775</v>
      </c>
    </row>
    <row r="28" spans="1:10" ht="12.75">
      <c r="A28" t="s">
        <v>53</v>
      </c>
      <c r="B28" s="34">
        <v>510000</v>
      </c>
      <c r="C28" s="21">
        <f t="shared" si="0"/>
        <v>330.12473400000005</v>
      </c>
      <c r="D28" s="21">
        <f t="shared" si="6"/>
        <v>165.06236700000002</v>
      </c>
      <c r="E28" s="21">
        <f t="shared" si="6"/>
        <v>110.04157800000003</v>
      </c>
      <c r="F28" s="21">
        <f t="shared" si="6"/>
        <v>82.53118350000001</v>
      </c>
      <c r="G28" s="21">
        <f t="shared" si="6"/>
        <v>66.02494680000002</v>
      </c>
      <c r="H28" s="21">
        <f t="shared" si="6"/>
        <v>55.020789000000015</v>
      </c>
      <c r="I28" s="21">
        <f t="shared" si="6"/>
        <v>47.16067628571429</v>
      </c>
      <c r="J28" s="21">
        <f t="shared" si="6"/>
        <v>41.265591750000006</v>
      </c>
    </row>
    <row r="29" ht="12.75">
      <c r="C29" s="21" t="s">
        <v>12</v>
      </c>
    </row>
    <row r="30" spans="1:10" ht="12.75">
      <c r="A30" t="s">
        <v>54</v>
      </c>
      <c r="B30" s="34">
        <v>300000</v>
      </c>
      <c r="C30" s="21">
        <f t="shared" si="0"/>
        <v>194.19102</v>
      </c>
      <c r="D30" s="21">
        <f aca="true" t="shared" si="7" ref="D30:J32">($B30/(D$4/17.1))*3.7854/1000</f>
        <v>97.09551</v>
      </c>
      <c r="E30" s="21">
        <f t="shared" si="7"/>
        <v>64.73034000000001</v>
      </c>
      <c r="F30" s="21">
        <f t="shared" si="7"/>
        <v>48.547755</v>
      </c>
      <c r="G30" s="21">
        <f t="shared" si="7"/>
        <v>38.838204000000005</v>
      </c>
      <c r="H30" s="21">
        <f t="shared" si="7"/>
        <v>32.365170000000006</v>
      </c>
      <c r="I30" s="21">
        <f t="shared" si="7"/>
        <v>27.74157428571429</v>
      </c>
      <c r="J30" s="21">
        <f t="shared" si="7"/>
        <v>24.2738775</v>
      </c>
    </row>
    <row r="31" spans="1:10" ht="12.75">
      <c r="A31" t="s">
        <v>55</v>
      </c>
      <c r="B31" s="34">
        <v>510000</v>
      </c>
      <c r="C31" s="21">
        <f t="shared" si="0"/>
        <v>330.12473400000005</v>
      </c>
      <c r="D31" s="21">
        <f t="shared" si="7"/>
        <v>165.06236700000002</v>
      </c>
      <c r="E31" s="21">
        <f t="shared" si="7"/>
        <v>110.04157800000003</v>
      </c>
      <c r="F31" s="21">
        <f t="shared" si="7"/>
        <v>82.53118350000001</v>
      </c>
      <c r="G31" s="21">
        <f t="shared" si="7"/>
        <v>66.02494680000002</v>
      </c>
      <c r="H31" s="21">
        <f t="shared" si="7"/>
        <v>55.020789000000015</v>
      </c>
      <c r="I31" s="21">
        <f t="shared" si="7"/>
        <v>47.16067628571429</v>
      </c>
      <c r="J31" s="21">
        <f t="shared" si="7"/>
        <v>41.265591750000006</v>
      </c>
    </row>
    <row r="32" spans="1:10" ht="12.75">
      <c r="A32" t="s">
        <v>56</v>
      </c>
      <c r="B32" s="34">
        <v>750000</v>
      </c>
      <c r="C32" s="21">
        <f t="shared" si="0"/>
        <v>485.47755000000006</v>
      </c>
      <c r="D32" s="21">
        <f t="shared" si="7"/>
        <v>242.73877500000003</v>
      </c>
      <c r="E32" s="21">
        <f t="shared" si="7"/>
        <v>161.82585000000003</v>
      </c>
      <c r="F32" s="21">
        <f t="shared" si="7"/>
        <v>121.36938750000002</v>
      </c>
      <c r="G32" s="21">
        <f t="shared" si="7"/>
        <v>97.09551</v>
      </c>
      <c r="H32" s="21">
        <f t="shared" si="7"/>
        <v>80.91292500000002</v>
      </c>
      <c r="I32" s="21">
        <f t="shared" si="7"/>
        <v>69.35393571428573</v>
      </c>
      <c r="J32" s="21">
        <f t="shared" si="7"/>
        <v>60.68469375000001</v>
      </c>
    </row>
    <row r="33" ht="12.75">
      <c r="C33" s="21" t="s">
        <v>12</v>
      </c>
    </row>
    <row r="34" spans="1:10" ht="12.75">
      <c r="A34" t="s">
        <v>57</v>
      </c>
      <c r="B34" s="34">
        <v>7200000</v>
      </c>
      <c r="C34" s="21">
        <f t="shared" si="0"/>
        <v>4660.584480000001</v>
      </c>
      <c r="D34" s="21">
        <f aca="true" t="shared" si="8" ref="D34:J34">($B34/(D$4/17.1))*3.7854/1000</f>
        <v>2330.2922400000007</v>
      </c>
      <c r="E34" s="21">
        <f t="shared" si="8"/>
        <v>1553.52816</v>
      </c>
      <c r="F34" s="21">
        <f t="shared" si="8"/>
        <v>1165.1461200000003</v>
      </c>
      <c r="G34" s="21">
        <f t="shared" si="8"/>
        <v>932.1168960000002</v>
      </c>
      <c r="H34" s="21">
        <f t="shared" si="8"/>
        <v>776.76408</v>
      </c>
      <c r="I34" s="21">
        <f t="shared" si="8"/>
        <v>665.7977828571428</v>
      </c>
      <c r="J34" s="21">
        <f t="shared" si="8"/>
        <v>582.5730600000002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0" sqref="C20"/>
    </sheetView>
  </sheetViews>
  <sheetFormatPr defaultColWidth="9.140625" defaultRowHeight="12.75"/>
  <cols>
    <col min="1" max="1" width="13.8515625" style="0" customWidth="1"/>
    <col min="2" max="2" width="13.8515625" style="34" customWidth="1"/>
    <col min="3" max="3" width="8.7109375" style="34" customWidth="1"/>
    <col min="4" max="11" width="8.7109375" style="0" customWidth="1"/>
    <col min="12" max="16384" width="11.421875" style="0" customWidth="1"/>
  </cols>
  <sheetData>
    <row r="2" ht="12.75">
      <c r="A2" t="s">
        <v>76</v>
      </c>
    </row>
    <row r="4" spans="2:10" s="20" customFormat="1" ht="12.75">
      <c r="B4" s="34" t="s">
        <v>74</v>
      </c>
      <c r="C4" s="34">
        <v>100</v>
      </c>
      <c r="D4" s="20">
        <v>200</v>
      </c>
      <c r="E4" s="20">
        <v>300</v>
      </c>
      <c r="F4" s="20">
        <v>400</v>
      </c>
      <c r="G4" s="20">
        <v>500</v>
      </c>
      <c r="H4" s="20">
        <v>600</v>
      </c>
      <c r="I4" s="20">
        <v>700</v>
      </c>
      <c r="J4" s="20">
        <v>800</v>
      </c>
    </row>
    <row r="5" spans="1:10" ht="12.75">
      <c r="A5" t="s">
        <v>3</v>
      </c>
      <c r="B5" s="34">
        <v>1800000</v>
      </c>
      <c r="C5" s="7">
        <f>($B5/(C$4/17.1))*3.7854/24/60/60</f>
        <v>13.485487500000003</v>
      </c>
      <c r="D5" s="7">
        <f>($B5/(D$4/17.1))*3.7854/24/60/60</f>
        <v>6.742743750000002</v>
      </c>
      <c r="E5" s="7">
        <f aca="true" t="shared" si="0" ref="E5:J5">($B5/(E$4/17.1))*3.7854/24/60/60</f>
        <v>4.495162500000001</v>
      </c>
      <c r="F5" s="7">
        <f t="shared" si="0"/>
        <v>3.371371875000001</v>
      </c>
      <c r="G5" s="7">
        <f t="shared" si="0"/>
        <v>2.6970975000000004</v>
      </c>
      <c r="H5" s="7">
        <f t="shared" si="0"/>
        <v>2.2475812500000005</v>
      </c>
      <c r="I5" s="7">
        <f t="shared" si="0"/>
        <v>1.9264982142857143</v>
      </c>
      <c r="J5" s="7">
        <f t="shared" si="0"/>
        <v>1.6856859375000004</v>
      </c>
    </row>
    <row r="6" spans="1:10" ht="12.75">
      <c r="A6" t="s">
        <v>4</v>
      </c>
      <c r="B6" s="34">
        <v>2880000</v>
      </c>
      <c r="C6" s="7">
        <f>($B6/(C$4/17.1))*3.7854/24/60/60</f>
        <v>21.576780000000003</v>
      </c>
      <c r="D6" s="7">
        <f aca="true" t="shared" si="1" ref="D6:J7">($B6/(D$4/17.1))*3.7854/24/60/60</f>
        <v>10.788390000000001</v>
      </c>
      <c r="E6" s="7">
        <f t="shared" si="1"/>
        <v>7.192260000000001</v>
      </c>
      <c r="F6" s="7">
        <f t="shared" si="1"/>
        <v>5.394195000000001</v>
      </c>
      <c r="G6" s="7">
        <f t="shared" si="1"/>
        <v>4.315356</v>
      </c>
      <c r="H6" s="7">
        <f t="shared" si="1"/>
        <v>3.5961300000000005</v>
      </c>
      <c r="I6" s="7">
        <f t="shared" si="1"/>
        <v>3.0823971428571437</v>
      </c>
      <c r="J6" s="7">
        <f t="shared" si="1"/>
        <v>2.6970975000000004</v>
      </c>
    </row>
    <row r="7" spans="1:10" ht="12.75">
      <c r="A7" t="s">
        <v>5</v>
      </c>
      <c r="B7" s="34">
        <v>3600000</v>
      </c>
      <c r="C7" s="7">
        <f>($B7/(C$4/17.1))*3.7854/24/60/60</f>
        <v>26.970975000000006</v>
      </c>
      <c r="D7" s="7">
        <f t="shared" si="1"/>
        <v>13.485487500000003</v>
      </c>
      <c r="E7" s="7">
        <f t="shared" si="1"/>
        <v>8.990325000000002</v>
      </c>
      <c r="F7" s="7">
        <f t="shared" si="1"/>
        <v>6.742743750000002</v>
      </c>
      <c r="G7" s="7">
        <f t="shared" si="1"/>
        <v>5.394195000000001</v>
      </c>
      <c r="H7" s="7">
        <f t="shared" si="1"/>
        <v>4.495162500000001</v>
      </c>
      <c r="I7" s="7">
        <f t="shared" si="1"/>
        <v>3.8529964285714287</v>
      </c>
      <c r="J7" s="7">
        <f t="shared" si="1"/>
        <v>3.371371875000001</v>
      </c>
    </row>
    <row r="8" spans="4:10" ht="12.75">
      <c r="D8" s="7"/>
      <c r="E8" s="7"/>
      <c r="F8" s="7"/>
      <c r="G8" s="7"/>
      <c r="H8" s="7"/>
      <c r="I8" s="7"/>
      <c r="J8" s="7"/>
    </row>
    <row r="9" spans="1:10" ht="12.75">
      <c r="A9" t="s">
        <v>13</v>
      </c>
      <c r="B9" s="34">
        <v>300000</v>
      </c>
      <c r="C9" s="7">
        <f>($B9/(C$4/17.1))*3.7854/24/60/60</f>
        <v>2.2475812500000005</v>
      </c>
      <c r="D9" s="7">
        <f aca="true" t="shared" si="2" ref="D9:J12">($B9/(D$4/17.1))*3.7854/24/60/60</f>
        <v>1.1237906250000003</v>
      </c>
      <c r="E9" s="7">
        <f t="shared" si="2"/>
        <v>0.7491937500000002</v>
      </c>
      <c r="F9" s="7">
        <f t="shared" si="2"/>
        <v>0.5618953125000001</v>
      </c>
      <c r="G9" s="7">
        <f t="shared" si="2"/>
        <v>0.44951625000000006</v>
      </c>
      <c r="H9" s="7">
        <f t="shared" si="2"/>
        <v>0.3745968750000001</v>
      </c>
      <c r="I9" s="7">
        <f t="shared" si="2"/>
        <v>0.32108303571428576</v>
      </c>
      <c r="J9" s="7">
        <f t="shared" si="2"/>
        <v>0.28094765625000007</v>
      </c>
    </row>
    <row r="10" spans="1:10" ht="12.75">
      <c r="A10" t="s">
        <v>14</v>
      </c>
      <c r="B10" s="34">
        <v>360000</v>
      </c>
      <c r="C10" s="7">
        <f>($B10/(C$4/17.1))*3.7854/24/60/60</f>
        <v>2.6970975000000004</v>
      </c>
      <c r="D10" s="7">
        <f t="shared" si="2"/>
        <v>1.3485487500000002</v>
      </c>
      <c r="E10" s="7">
        <f t="shared" si="2"/>
        <v>0.8990325000000001</v>
      </c>
      <c r="F10" s="7">
        <f t="shared" si="2"/>
        <v>0.6742743750000001</v>
      </c>
      <c r="G10" s="7">
        <f t="shared" si="2"/>
        <v>0.5394195</v>
      </c>
      <c r="H10" s="7">
        <f t="shared" si="2"/>
        <v>0.44951625000000006</v>
      </c>
      <c r="I10" s="7">
        <f t="shared" si="2"/>
        <v>0.38529964285714297</v>
      </c>
      <c r="J10" s="7">
        <f t="shared" si="2"/>
        <v>0.33713718750000005</v>
      </c>
    </row>
    <row r="11" spans="1:10" ht="12.75">
      <c r="A11" t="s">
        <v>15</v>
      </c>
      <c r="B11" s="34">
        <v>540000</v>
      </c>
      <c r="C11" s="7">
        <f>($B11/(C$4/17.1))*3.7854/24/60/60</f>
        <v>4.045646250000001</v>
      </c>
      <c r="D11" s="7">
        <f t="shared" si="2"/>
        <v>2.0228231250000004</v>
      </c>
      <c r="E11" s="7">
        <f t="shared" si="2"/>
        <v>1.3485487500000002</v>
      </c>
      <c r="F11" s="7">
        <f t="shared" si="2"/>
        <v>1.0114115625000002</v>
      </c>
      <c r="G11" s="7">
        <f t="shared" si="2"/>
        <v>0.8091292500000002</v>
      </c>
      <c r="H11" s="7">
        <f t="shared" si="2"/>
        <v>0.6742743750000001</v>
      </c>
      <c r="I11" s="7">
        <f t="shared" si="2"/>
        <v>0.5779494642857143</v>
      </c>
      <c r="J11" s="7">
        <f t="shared" si="2"/>
        <v>0.5057057812500001</v>
      </c>
    </row>
    <row r="12" spans="1:10" ht="12.75">
      <c r="A12" t="s">
        <v>16</v>
      </c>
      <c r="B12" s="34">
        <v>900000</v>
      </c>
      <c r="C12" s="7">
        <f>($B12/(C$4/17.1))*3.7854/24/60/60</f>
        <v>6.742743750000002</v>
      </c>
      <c r="D12" s="7">
        <f t="shared" si="2"/>
        <v>3.371371875000001</v>
      </c>
      <c r="E12" s="7">
        <f t="shared" si="2"/>
        <v>2.2475812500000005</v>
      </c>
      <c r="F12" s="7">
        <f t="shared" si="2"/>
        <v>1.6856859375000004</v>
      </c>
      <c r="G12" s="7">
        <f t="shared" si="2"/>
        <v>1.3485487500000002</v>
      </c>
      <c r="H12" s="7">
        <f t="shared" si="2"/>
        <v>1.1237906250000003</v>
      </c>
      <c r="I12" s="7">
        <f t="shared" si="2"/>
        <v>0.9632491071428572</v>
      </c>
      <c r="J12" s="7">
        <f t="shared" si="2"/>
        <v>0.8428429687500002</v>
      </c>
    </row>
    <row r="13" spans="4:10" ht="12.75">
      <c r="D13" s="7"/>
      <c r="E13" s="7"/>
      <c r="F13" s="7"/>
      <c r="G13" s="7"/>
      <c r="H13" s="7"/>
      <c r="I13" s="7"/>
      <c r="J13" s="7"/>
    </row>
    <row r="14" spans="1:10" ht="12.75">
      <c r="A14" t="s">
        <v>43</v>
      </c>
      <c r="B14" s="34">
        <v>15000</v>
      </c>
      <c r="C14" s="7">
        <f>($B14/(C$4/17.1))*3.7854/24/60/60</f>
        <v>0.11237906250000002</v>
      </c>
      <c r="D14" s="7">
        <f aca="true" t="shared" si="3" ref="D14:J18">($B14/(D$4/17.1))*3.7854/24/60/60</f>
        <v>0.05618953125000001</v>
      </c>
      <c r="E14" s="7">
        <f t="shared" si="3"/>
        <v>0.03745968750000001</v>
      </c>
      <c r="F14" s="7">
        <f t="shared" si="3"/>
        <v>0.028094765625000004</v>
      </c>
      <c r="G14" s="7">
        <f t="shared" si="3"/>
        <v>0.022475812500000004</v>
      </c>
      <c r="H14" s="7">
        <f t="shared" si="3"/>
        <v>0.018729843750000006</v>
      </c>
      <c r="I14" s="7">
        <f t="shared" si="3"/>
        <v>0.016054151785714284</v>
      </c>
      <c r="J14" s="7">
        <f t="shared" si="3"/>
        <v>0.014047382812500002</v>
      </c>
    </row>
    <row r="15" spans="1:10" ht="12.75">
      <c r="A15" t="s">
        <v>44</v>
      </c>
      <c r="B15" s="34">
        <v>25000</v>
      </c>
      <c r="C15" s="7">
        <f>($B15/(C$4/17.1))*3.7854/24/60/60</f>
        <v>0.18729843750000005</v>
      </c>
      <c r="D15" s="7">
        <f t="shared" si="3"/>
        <v>0.09364921875000003</v>
      </c>
      <c r="E15" s="7">
        <f t="shared" si="3"/>
        <v>0.06243281250000001</v>
      </c>
      <c r="F15" s="7">
        <f t="shared" si="3"/>
        <v>0.04682460937500001</v>
      </c>
      <c r="G15" s="7">
        <f t="shared" si="3"/>
        <v>0.03745968750000001</v>
      </c>
      <c r="H15" s="7">
        <f t="shared" si="3"/>
        <v>0.031216406250000005</v>
      </c>
      <c r="I15" s="7">
        <f t="shared" si="3"/>
        <v>0.02675691964285715</v>
      </c>
      <c r="J15" s="7">
        <f t="shared" si="3"/>
        <v>0.023412304687500007</v>
      </c>
    </row>
    <row r="16" spans="1:10" ht="12.75">
      <c r="A16" t="s">
        <v>45</v>
      </c>
      <c r="B16" s="34">
        <v>40000</v>
      </c>
      <c r="C16" s="7">
        <f>($B16/(C$4/17.1))*3.7854/24/60/60</f>
        <v>0.2996775000000001</v>
      </c>
      <c r="D16" s="7">
        <f t="shared" si="3"/>
        <v>0.14983875000000005</v>
      </c>
      <c r="E16" s="7">
        <f t="shared" si="3"/>
        <v>0.09989250000000001</v>
      </c>
      <c r="F16" s="7">
        <f t="shared" si="3"/>
        <v>0.07491937500000002</v>
      </c>
      <c r="G16" s="7">
        <f t="shared" si="3"/>
        <v>0.05993550000000002</v>
      </c>
      <c r="H16" s="7">
        <f t="shared" si="3"/>
        <v>0.049946250000000005</v>
      </c>
      <c r="I16" s="7">
        <f t="shared" si="3"/>
        <v>0.042811071428571434</v>
      </c>
      <c r="J16" s="7">
        <f t="shared" si="3"/>
        <v>0.03745968750000001</v>
      </c>
    </row>
    <row r="17" spans="1:10" ht="12.75">
      <c r="A17" t="s">
        <v>46</v>
      </c>
      <c r="B17" s="34">
        <v>45000</v>
      </c>
      <c r="C17" s="7">
        <f>($B17/(C$4/17.1))*3.7854/24/60/60</f>
        <v>0.33713718750000005</v>
      </c>
      <c r="D17" s="7">
        <f t="shared" si="3"/>
        <v>0.16856859375000002</v>
      </c>
      <c r="E17" s="7">
        <f t="shared" si="3"/>
        <v>0.11237906250000002</v>
      </c>
      <c r="F17" s="7">
        <f t="shared" si="3"/>
        <v>0.08428429687500001</v>
      </c>
      <c r="G17" s="7">
        <f t="shared" si="3"/>
        <v>0.0674274375</v>
      </c>
      <c r="H17" s="7">
        <f t="shared" si="3"/>
        <v>0.05618953125000001</v>
      </c>
      <c r="I17" s="7">
        <f t="shared" si="3"/>
        <v>0.04816245535714287</v>
      </c>
      <c r="J17" s="7">
        <f t="shared" si="3"/>
        <v>0.042142148437500006</v>
      </c>
    </row>
    <row r="18" spans="1:10" ht="12.75">
      <c r="A18" t="s">
        <v>47</v>
      </c>
      <c r="B18" s="34">
        <v>60000</v>
      </c>
      <c r="C18" s="7">
        <f>($B18/(C$4/17.1))*3.7854/24/60/60</f>
        <v>0.44951625000000006</v>
      </c>
      <c r="D18" s="7">
        <f t="shared" si="3"/>
        <v>0.22475812500000003</v>
      </c>
      <c r="E18" s="7">
        <f t="shared" si="3"/>
        <v>0.14983875000000005</v>
      </c>
      <c r="F18" s="7">
        <f t="shared" si="3"/>
        <v>0.11237906250000002</v>
      </c>
      <c r="G18" s="7">
        <f t="shared" si="3"/>
        <v>0.08990325000000002</v>
      </c>
      <c r="H18" s="7">
        <f t="shared" si="3"/>
        <v>0.07491937500000002</v>
      </c>
      <c r="I18" s="7">
        <f t="shared" si="3"/>
        <v>0.06421660714285714</v>
      </c>
      <c r="J18" s="7">
        <f t="shared" si="3"/>
        <v>0.05618953125000001</v>
      </c>
    </row>
    <row r="19" spans="4:10" ht="12.75">
      <c r="D19" s="7"/>
      <c r="E19" s="7"/>
      <c r="F19" s="7"/>
      <c r="G19" s="7"/>
      <c r="H19" s="7"/>
      <c r="I19" s="7"/>
      <c r="J19" s="7"/>
    </row>
    <row r="20" spans="1:10" ht="12.75">
      <c r="A20" t="s">
        <v>42</v>
      </c>
      <c r="B20" s="34">
        <v>1600</v>
      </c>
      <c r="C20" s="38">
        <f>($B20/(C$4/17.1))*3.7854/24/60/60</f>
        <v>0.011987100000000002</v>
      </c>
      <c r="D20" s="35">
        <f aca="true" t="shared" si="4" ref="D20:J20">($B20/(D$4/17.1))*3.7854/24/60/60</f>
        <v>0.005993550000000001</v>
      </c>
      <c r="E20" s="35">
        <f t="shared" si="4"/>
        <v>0.0039957000000000005</v>
      </c>
      <c r="F20" s="35">
        <f t="shared" si="4"/>
        <v>0.0029967750000000006</v>
      </c>
      <c r="G20" s="35">
        <f t="shared" si="4"/>
        <v>0.00239742</v>
      </c>
      <c r="H20" s="35">
        <f t="shared" si="4"/>
        <v>0.0019978500000000002</v>
      </c>
      <c r="I20" s="35">
        <f t="shared" si="4"/>
        <v>0.0017124428571428573</v>
      </c>
      <c r="J20" s="35">
        <f t="shared" si="4"/>
        <v>0.0014983875000000003</v>
      </c>
    </row>
    <row r="21" spans="4:10" ht="12.75">
      <c r="D21" s="7"/>
      <c r="E21" s="7"/>
      <c r="F21" s="7"/>
      <c r="G21" s="7"/>
      <c r="H21" s="7"/>
      <c r="I21" s="7"/>
      <c r="J21" s="7"/>
    </row>
    <row r="22" spans="1:10" ht="12.75">
      <c r="A22" t="s">
        <v>48</v>
      </c>
      <c r="B22" s="34">
        <v>150000</v>
      </c>
      <c r="C22" s="7">
        <f>($B22/(C$4/17.1))*3.7854/24/60/60</f>
        <v>1.1237906250000003</v>
      </c>
      <c r="D22" s="7">
        <f aca="true" t="shared" si="5" ref="D22:J34">($B22/(D$4/17.1))*3.7854/24/60/60</f>
        <v>0.5618953125000001</v>
      </c>
      <c r="E22" s="7">
        <f t="shared" si="5"/>
        <v>0.3745968750000001</v>
      </c>
      <c r="F22" s="7">
        <f t="shared" si="5"/>
        <v>0.28094765625000007</v>
      </c>
      <c r="G22" s="7">
        <f t="shared" si="5"/>
        <v>0.22475812500000003</v>
      </c>
      <c r="H22" s="7">
        <f t="shared" si="5"/>
        <v>0.18729843750000005</v>
      </c>
      <c r="I22" s="7">
        <f t="shared" si="5"/>
        <v>0.16054151785714288</v>
      </c>
      <c r="J22" s="7">
        <f t="shared" si="5"/>
        <v>0.14047382812500003</v>
      </c>
    </row>
    <row r="23" spans="1:10" ht="12.75">
      <c r="A23" t="s">
        <v>49</v>
      </c>
      <c r="B23" s="34">
        <v>240000</v>
      </c>
      <c r="C23" s="7">
        <f>($B23/(C$4/17.1))*3.7854/24/60/60</f>
        <v>1.7980650000000002</v>
      </c>
      <c r="D23" s="7">
        <f t="shared" si="5"/>
        <v>0.8990325000000001</v>
      </c>
      <c r="E23" s="7">
        <f t="shared" si="5"/>
        <v>0.5993550000000002</v>
      </c>
      <c r="F23" s="7">
        <f t="shared" si="5"/>
        <v>0.44951625000000006</v>
      </c>
      <c r="G23" s="7">
        <f t="shared" si="5"/>
        <v>0.35961300000000007</v>
      </c>
      <c r="H23" s="7">
        <f t="shared" si="5"/>
        <v>0.2996775000000001</v>
      </c>
      <c r="I23" s="7">
        <f t="shared" si="5"/>
        <v>0.25686642857142855</v>
      </c>
      <c r="J23" s="7">
        <f t="shared" si="5"/>
        <v>0.22475812500000003</v>
      </c>
    </row>
    <row r="24" spans="1:10" ht="12.75">
      <c r="A24" t="s">
        <v>50</v>
      </c>
      <c r="B24" s="34">
        <v>300000</v>
      </c>
      <c r="C24" s="7">
        <f>($B24/(C$4/17.1))*3.7854/24/60/60</f>
        <v>2.2475812500000005</v>
      </c>
      <c r="D24" s="7">
        <f t="shared" si="5"/>
        <v>1.1237906250000003</v>
      </c>
      <c r="E24" s="7">
        <f t="shared" si="5"/>
        <v>0.7491937500000002</v>
      </c>
      <c r="F24" s="7">
        <f t="shared" si="5"/>
        <v>0.5618953125000001</v>
      </c>
      <c r="G24" s="7">
        <f t="shared" si="5"/>
        <v>0.44951625000000006</v>
      </c>
      <c r="H24" s="7">
        <f t="shared" si="5"/>
        <v>0.3745968750000001</v>
      </c>
      <c r="I24" s="7">
        <f t="shared" si="5"/>
        <v>0.32108303571428576</v>
      </c>
      <c r="J24" s="7">
        <f t="shared" si="5"/>
        <v>0.28094765625000007</v>
      </c>
    </row>
    <row r="26" spans="1:10" ht="12.75">
      <c r="A26" t="s">
        <v>51</v>
      </c>
      <c r="B26" s="34">
        <v>240000</v>
      </c>
      <c r="C26" s="7">
        <f aca="true" t="shared" si="6" ref="C26:C34">($B26/(C$4/17.1))*3.7854/24/60/60</f>
        <v>1.7980650000000002</v>
      </c>
      <c r="D26" s="7">
        <f t="shared" si="5"/>
        <v>0.8990325000000001</v>
      </c>
      <c r="E26" s="7">
        <f t="shared" si="5"/>
        <v>0.5993550000000002</v>
      </c>
      <c r="F26" s="7">
        <f t="shared" si="5"/>
        <v>0.44951625000000006</v>
      </c>
      <c r="G26" s="7">
        <f t="shared" si="5"/>
        <v>0.35961300000000007</v>
      </c>
      <c r="H26" s="7">
        <f t="shared" si="5"/>
        <v>0.2996775000000001</v>
      </c>
      <c r="I26" s="7">
        <f t="shared" si="5"/>
        <v>0.25686642857142855</v>
      </c>
      <c r="J26" s="7">
        <f t="shared" si="5"/>
        <v>0.22475812500000003</v>
      </c>
    </row>
    <row r="27" spans="1:10" ht="12.75">
      <c r="A27" t="s">
        <v>52</v>
      </c>
      <c r="B27" s="34">
        <v>300000</v>
      </c>
      <c r="C27" s="7">
        <f t="shared" si="6"/>
        <v>2.2475812500000005</v>
      </c>
      <c r="D27" s="7">
        <f t="shared" si="5"/>
        <v>1.1237906250000003</v>
      </c>
      <c r="E27" s="7">
        <f t="shared" si="5"/>
        <v>0.7491937500000002</v>
      </c>
      <c r="F27" s="7">
        <f t="shared" si="5"/>
        <v>0.5618953125000001</v>
      </c>
      <c r="G27" s="7">
        <f t="shared" si="5"/>
        <v>0.44951625000000006</v>
      </c>
      <c r="H27" s="7">
        <f t="shared" si="5"/>
        <v>0.3745968750000001</v>
      </c>
      <c r="I27" s="7">
        <f t="shared" si="5"/>
        <v>0.32108303571428576</v>
      </c>
      <c r="J27" s="7">
        <f t="shared" si="5"/>
        <v>0.28094765625000007</v>
      </c>
    </row>
    <row r="28" spans="1:10" ht="12.75">
      <c r="A28" t="s">
        <v>53</v>
      </c>
      <c r="B28" s="34">
        <v>510000</v>
      </c>
      <c r="C28" s="7">
        <f t="shared" si="6"/>
        <v>3.820888125000001</v>
      </c>
      <c r="D28" s="7">
        <f t="shared" si="5"/>
        <v>1.9104440625000005</v>
      </c>
      <c r="E28" s="7">
        <f t="shared" si="5"/>
        <v>1.273629375</v>
      </c>
      <c r="F28" s="7">
        <f t="shared" si="5"/>
        <v>0.9552220312500003</v>
      </c>
      <c r="G28" s="7">
        <f t="shared" si="5"/>
        <v>0.7641776250000002</v>
      </c>
      <c r="H28" s="7">
        <f t="shared" si="5"/>
        <v>0.6368146875</v>
      </c>
      <c r="I28" s="7">
        <f t="shared" si="5"/>
        <v>0.5458411607142858</v>
      </c>
      <c r="J28" s="7">
        <f t="shared" si="5"/>
        <v>0.47761101562500013</v>
      </c>
    </row>
    <row r="29" ht="12.75">
      <c r="C29" s="36" t="s">
        <v>12</v>
      </c>
    </row>
    <row r="30" spans="1:10" ht="12.75">
      <c r="A30" t="s">
        <v>54</v>
      </c>
      <c r="B30" s="34">
        <v>300000</v>
      </c>
      <c r="C30" s="7">
        <f t="shared" si="6"/>
        <v>2.2475812500000005</v>
      </c>
      <c r="D30" s="7">
        <f t="shared" si="5"/>
        <v>1.1237906250000003</v>
      </c>
      <c r="E30" s="7">
        <f t="shared" si="5"/>
        <v>0.7491937500000002</v>
      </c>
      <c r="F30" s="7">
        <f t="shared" si="5"/>
        <v>0.5618953125000001</v>
      </c>
      <c r="G30" s="7">
        <f t="shared" si="5"/>
        <v>0.44951625000000006</v>
      </c>
      <c r="H30" s="7">
        <f t="shared" si="5"/>
        <v>0.3745968750000001</v>
      </c>
      <c r="I30" s="7">
        <f t="shared" si="5"/>
        <v>0.32108303571428576</v>
      </c>
      <c r="J30" s="7">
        <f t="shared" si="5"/>
        <v>0.28094765625000007</v>
      </c>
    </row>
    <row r="31" spans="1:10" ht="12.75">
      <c r="A31" t="s">
        <v>55</v>
      </c>
      <c r="B31" s="34">
        <v>510000</v>
      </c>
      <c r="C31" s="7">
        <f t="shared" si="6"/>
        <v>3.820888125000001</v>
      </c>
      <c r="D31" s="7">
        <f t="shared" si="5"/>
        <v>1.9104440625000005</v>
      </c>
      <c r="E31" s="7">
        <f t="shared" si="5"/>
        <v>1.273629375</v>
      </c>
      <c r="F31" s="7">
        <f t="shared" si="5"/>
        <v>0.9552220312500003</v>
      </c>
      <c r="G31" s="7">
        <f t="shared" si="5"/>
        <v>0.7641776250000002</v>
      </c>
      <c r="H31" s="7">
        <f t="shared" si="5"/>
        <v>0.6368146875</v>
      </c>
      <c r="I31" s="7">
        <f t="shared" si="5"/>
        <v>0.5458411607142858</v>
      </c>
      <c r="J31" s="7">
        <f t="shared" si="5"/>
        <v>0.47761101562500013</v>
      </c>
    </row>
    <row r="32" spans="1:10" ht="12.75">
      <c r="A32" t="s">
        <v>56</v>
      </c>
      <c r="B32" s="34">
        <v>750000</v>
      </c>
      <c r="C32" s="7">
        <f t="shared" si="6"/>
        <v>5.618953125000001</v>
      </c>
      <c r="D32" s="7">
        <f t="shared" si="5"/>
        <v>2.8094765625000004</v>
      </c>
      <c r="E32" s="7">
        <f t="shared" si="5"/>
        <v>1.8729843750000004</v>
      </c>
      <c r="F32" s="7">
        <f t="shared" si="5"/>
        <v>1.4047382812500002</v>
      </c>
      <c r="G32" s="7">
        <f t="shared" si="5"/>
        <v>1.1237906250000003</v>
      </c>
      <c r="H32" s="7">
        <f t="shared" si="5"/>
        <v>0.9364921875000002</v>
      </c>
      <c r="I32" s="7">
        <f t="shared" si="5"/>
        <v>0.8027075892857144</v>
      </c>
      <c r="J32" s="7">
        <f t="shared" si="5"/>
        <v>0.7023691406250001</v>
      </c>
    </row>
    <row r="33" ht="12.75">
      <c r="C33" s="36" t="s">
        <v>12</v>
      </c>
    </row>
    <row r="34" spans="1:10" ht="12.75">
      <c r="A34" t="s">
        <v>57</v>
      </c>
      <c r="B34" s="34">
        <v>7200000</v>
      </c>
      <c r="C34" s="7">
        <f t="shared" si="6"/>
        <v>53.94195000000001</v>
      </c>
      <c r="D34" s="7">
        <f t="shared" si="5"/>
        <v>26.970975000000006</v>
      </c>
      <c r="E34" s="7">
        <f t="shared" si="5"/>
        <v>17.980650000000004</v>
      </c>
      <c r="F34" s="7">
        <f t="shared" si="5"/>
        <v>13.485487500000003</v>
      </c>
      <c r="G34" s="7">
        <f t="shared" si="5"/>
        <v>10.788390000000001</v>
      </c>
      <c r="H34" s="7">
        <f t="shared" si="5"/>
        <v>8.990325000000002</v>
      </c>
      <c r="I34" s="7">
        <f t="shared" si="5"/>
        <v>7.705992857142857</v>
      </c>
      <c r="J34" s="7">
        <f t="shared" si="5"/>
        <v>6.742743750000002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C17" sqref="C17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10" width="7.7109375" style="0" customWidth="1"/>
    <col min="11" max="16384" width="11.421875" style="0" customWidth="1"/>
  </cols>
  <sheetData>
    <row r="1" ht="12.75">
      <c r="A1" t="s">
        <v>138</v>
      </c>
    </row>
    <row r="4" spans="1:10" ht="12.75">
      <c r="A4" s="20" t="s">
        <v>10</v>
      </c>
      <c r="B4" s="20" t="s">
        <v>139</v>
      </c>
      <c r="C4" s="20">
        <v>100</v>
      </c>
      <c r="D4" s="20">
        <v>200</v>
      </c>
      <c r="E4" s="20">
        <v>300</v>
      </c>
      <c r="F4" s="20">
        <v>400</v>
      </c>
      <c r="G4" s="20">
        <v>500</v>
      </c>
      <c r="H4" s="20">
        <v>600</v>
      </c>
      <c r="I4" s="20">
        <v>700</v>
      </c>
      <c r="J4" s="20">
        <v>800</v>
      </c>
    </row>
    <row r="5" spans="1:10" ht="12.75">
      <c r="A5" s="20">
        <v>500</v>
      </c>
      <c r="B5" s="61">
        <f aca="true" t="shared" si="0" ref="B5:B14">(($A5)/30000)*28.32</f>
        <v>0.472</v>
      </c>
      <c r="C5" s="21">
        <f aca="true" t="shared" si="1" ref="C5:J14">($A5/(C$4/17.1))*3.7854</f>
        <v>323.65170000000006</v>
      </c>
      <c r="D5" s="21">
        <f t="shared" si="1"/>
        <v>161.82585000000003</v>
      </c>
      <c r="E5" s="21">
        <f t="shared" si="1"/>
        <v>107.88390000000001</v>
      </c>
      <c r="F5" s="21">
        <f t="shared" si="1"/>
        <v>80.91292500000002</v>
      </c>
      <c r="G5" s="21">
        <f t="shared" si="1"/>
        <v>64.73034000000001</v>
      </c>
      <c r="H5" s="21">
        <f t="shared" si="1"/>
        <v>53.941950000000006</v>
      </c>
      <c r="I5" s="21">
        <f t="shared" si="1"/>
        <v>46.235957142857146</v>
      </c>
      <c r="J5" s="21">
        <f t="shared" si="1"/>
        <v>40.45646250000001</v>
      </c>
    </row>
    <row r="6" spans="1:10" ht="12.75">
      <c r="A6" s="20">
        <v>1000</v>
      </c>
      <c r="B6" s="61">
        <f t="shared" si="0"/>
        <v>0.944</v>
      </c>
      <c r="C6" s="21">
        <f t="shared" si="1"/>
        <v>647.3034000000001</v>
      </c>
      <c r="D6" s="21">
        <f t="shared" si="1"/>
        <v>323.65170000000006</v>
      </c>
      <c r="E6" s="21">
        <f t="shared" si="1"/>
        <v>215.76780000000002</v>
      </c>
      <c r="F6" s="21">
        <f t="shared" si="1"/>
        <v>161.82585000000003</v>
      </c>
      <c r="G6" s="21">
        <f t="shared" si="1"/>
        <v>129.46068000000002</v>
      </c>
      <c r="H6" s="21">
        <f t="shared" si="1"/>
        <v>107.88390000000001</v>
      </c>
      <c r="I6" s="21">
        <f t="shared" si="1"/>
        <v>92.47191428571429</v>
      </c>
      <c r="J6" s="21">
        <f t="shared" si="1"/>
        <v>80.91292500000002</v>
      </c>
    </row>
    <row r="7" spans="1:10" ht="12.75">
      <c r="A7" s="20">
        <v>1500</v>
      </c>
      <c r="B7" s="61">
        <f t="shared" si="0"/>
        <v>1.4160000000000001</v>
      </c>
      <c r="C7" s="21">
        <f t="shared" si="1"/>
        <v>970.9551000000002</v>
      </c>
      <c r="D7" s="21">
        <f t="shared" si="1"/>
        <v>485.4775500000001</v>
      </c>
      <c r="E7" s="21">
        <f t="shared" si="1"/>
        <v>323.65170000000006</v>
      </c>
      <c r="F7" s="21">
        <f t="shared" si="1"/>
        <v>242.73877500000006</v>
      </c>
      <c r="G7" s="21">
        <f t="shared" si="1"/>
        <v>194.19102</v>
      </c>
      <c r="H7" s="21">
        <f t="shared" si="1"/>
        <v>161.82585000000003</v>
      </c>
      <c r="I7" s="21">
        <f t="shared" si="1"/>
        <v>138.70787142857145</v>
      </c>
      <c r="J7" s="21">
        <f t="shared" si="1"/>
        <v>121.36938750000003</v>
      </c>
    </row>
    <row r="8" spans="1:10" ht="12.75">
      <c r="A8" s="20">
        <v>2000</v>
      </c>
      <c r="B8" s="61">
        <f t="shared" si="0"/>
        <v>1.888</v>
      </c>
      <c r="C8" s="21">
        <f t="shared" si="1"/>
        <v>1294.6068000000002</v>
      </c>
      <c r="D8" s="21">
        <f t="shared" si="1"/>
        <v>647.3034000000001</v>
      </c>
      <c r="E8" s="21">
        <f t="shared" si="1"/>
        <v>431.53560000000004</v>
      </c>
      <c r="F8" s="21">
        <f t="shared" si="1"/>
        <v>323.65170000000006</v>
      </c>
      <c r="G8" s="21">
        <f t="shared" si="1"/>
        <v>258.92136000000005</v>
      </c>
      <c r="H8" s="21">
        <f t="shared" si="1"/>
        <v>215.76780000000002</v>
      </c>
      <c r="I8" s="21">
        <f t="shared" si="1"/>
        <v>184.94382857142858</v>
      </c>
      <c r="J8" s="21">
        <f t="shared" si="1"/>
        <v>161.82585000000003</v>
      </c>
    </row>
    <row r="9" spans="1:10" ht="12.75">
      <c r="A9" s="20">
        <v>2500</v>
      </c>
      <c r="B9" s="61">
        <f t="shared" si="0"/>
        <v>2.36</v>
      </c>
      <c r="C9" s="21">
        <f t="shared" si="1"/>
        <v>1618.2585000000004</v>
      </c>
      <c r="D9" s="21">
        <f t="shared" si="1"/>
        <v>809.1292500000002</v>
      </c>
      <c r="E9" s="21">
        <f t="shared" si="1"/>
        <v>539.4195000000001</v>
      </c>
      <c r="F9" s="21">
        <f t="shared" si="1"/>
        <v>404.5646250000001</v>
      </c>
      <c r="G9" s="21">
        <f t="shared" si="1"/>
        <v>323.65170000000006</v>
      </c>
      <c r="H9" s="21">
        <f t="shared" si="1"/>
        <v>269.70975000000004</v>
      </c>
      <c r="I9" s="21">
        <f t="shared" si="1"/>
        <v>231.17978571428574</v>
      </c>
      <c r="J9" s="21">
        <f t="shared" si="1"/>
        <v>202.28231250000005</v>
      </c>
    </row>
    <row r="10" spans="1:10" ht="12.75">
      <c r="A10" s="20">
        <v>3000</v>
      </c>
      <c r="B10" s="61">
        <f t="shared" si="0"/>
        <v>2.8320000000000003</v>
      </c>
      <c r="C10" s="21">
        <f t="shared" si="1"/>
        <v>1941.9102000000005</v>
      </c>
      <c r="D10" s="21">
        <f t="shared" si="1"/>
        <v>970.9551000000002</v>
      </c>
      <c r="E10" s="21">
        <f t="shared" si="1"/>
        <v>647.3034000000001</v>
      </c>
      <c r="F10" s="21">
        <f t="shared" si="1"/>
        <v>485.4775500000001</v>
      </c>
      <c r="G10" s="21">
        <f t="shared" si="1"/>
        <v>388.38204</v>
      </c>
      <c r="H10" s="21">
        <f t="shared" si="1"/>
        <v>323.65170000000006</v>
      </c>
      <c r="I10" s="21">
        <f t="shared" si="1"/>
        <v>277.4157428571429</v>
      </c>
      <c r="J10" s="21">
        <f t="shared" si="1"/>
        <v>242.73877500000006</v>
      </c>
    </row>
    <row r="11" spans="1:10" ht="12.75">
      <c r="A11" s="20">
        <v>3500</v>
      </c>
      <c r="B11" s="61">
        <f t="shared" si="0"/>
        <v>3.3040000000000003</v>
      </c>
      <c r="C11" s="21">
        <f t="shared" si="1"/>
        <v>2265.5619000000006</v>
      </c>
      <c r="D11" s="21">
        <f t="shared" si="1"/>
        <v>1132.7809500000003</v>
      </c>
      <c r="E11" s="21">
        <f t="shared" si="1"/>
        <v>755.1873000000002</v>
      </c>
      <c r="F11" s="21">
        <f t="shared" si="1"/>
        <v>566.3904750000002</v>
      </c>
      <c r="G11" s="21">
        <f t="shared" si="1"/>
        <v>453.1123800000001</v>
      </c>
      <c r="H11" s="21">
        <f t="shared" si="1"/>
        <v>377.5936500000001</v>
      </c>
      <c r="I11" s="21">
        <f t="shared" si="1"/>
        <v>323.6517</v>
      </c>
      <c r="J11" s="21">
        <f t="shared" si="1"/>
        <v>283.1952375000001</v>
      </c>
    </row>
    <row r="12" spans="1:10" ht="12.75">
      <c r="A12" s="20">
        <v>4000</v>
      </c>
      <c r="B12" s="61">
        <f t="shared" si="0"/>
        <v>3.776</v>
      </c>
      <c r="C12" s="21">
        <f t="shared" si="1"/>
        <v>2589.2136000000005</v>
      </c>
      <c r="D12" s="21">
        <f t="shared" si="1"/>
        <v>1294.6068000000002</v>
      </c>
      <c r="E12" s="21">
        <f t="shared" si="1"/>
        <v>863.0712000000001</v>
      </c>
      <c r="F12" s="21">
        <f t="shared" si="1"/>
        <v>647.3034000000001</v>
      </c>
      <c r="G12" s="21">
        <f t="shared" si="1"/>
        <v>517.8427200000001</v>
      </c>
      <c r="H12" s="21">
        <f t="shared" si="1"/>
        <v>431.53560000000004</v>
      </c>
      <c r="I12" s="21">
        <f t="shared" si="1"/>
        <v>369.88765714285717</v>
      </c>
      <c r="J12" s="21">
        <f t="shared" si="1"/>
        <v>323.65170000000006</v>
      </c>
    </row>
    <row r="13" spans="1:10" ht="12.75">
      <c r="A13" s="20">
        <v>4500</v>
      </c>
      <c r="B13" s="61">
        <f t="shared" si="0"/>
        <v>4.248</v>
      </c>
      <c r="C13" s="21">
        <f t="shared" si="1"/>
        <v>2912.8653000000004</v>
      </c>
      <c r="D13" s="21">
        <f t="shared" si="1"/>
        <v>1456.4326500000002</v>
      </c>
      <c r="E13" s="21">
        <f t="shared" si="1"/>
        <v>970.9551000000002</v>
      </c>
      <c r="F13" s="21">
        <f t="shared" si="1"/>
        <v>728.2163250000001</v>
      </c>
      <c r="G13" s="21">
        <f t="shared" si="1"/>
        <v>582.5730600000002</v>
      </c>
      <c r="H13" s="21">
        <f t="shared" si="1"/>
        <v>485.4775500000001</v>
      </c>
      <c r="I13" s="21">
        <f t="shared" si="1"/>
        <v>416.1236142857143</v>
      </c>
      <c r="J13" s="21">
        <f t="shared" si="1"/>
        <v>364.10816250000005</v>
      </c>
    </row>
    <row r="14" spans="1:10" ht="12.75">
      <c r="A14" s="20">
        <v>5000</v>
      </c>
      <c r="B14" s="61">
        <f t="shared" si="0"/>
        <v>4.72</v>
      </c>
      <c r="C14" s="21">
        <f t="shared" si="1"/>
        <v>3236.5170000000007</v>
      </c>
      <c r="D14" s="21">
        <f t="shared" si="1"/>
        <v>1618.2585000000004</v>
      </c>
      <c r="E14" s="21">
        <f t="shared" si="1"/>
        <v>1078.8390000000002</v>
      </c>
      <c r="F14" s="21">
        <f t="shared" si="1"/>
        <v>809.1292500000002</v>
      </c>
      <c r="G14" s="21">
        <f t="shared" si="1"/>
        <v>647.3034000000001</v>
      </c>
      <c r="H14" s="21">
        <f t="shared" si="1"/>
        <v>539.4195000000001</v>
      </c>
      <c r="I14" s="21">
        <f t="shared" si="1"/>
        <v>462.3595714285715</v>
      </c>
      <c r="J14" s="21">
        <f t="shared" si="1"/>
        <v>404.5646250000001</v>
      </c>
    </row>
    <row r="15" ht="12.75">
      <c r="A15" t="s">
        <v>12</v>
      </c>
    </row>
    <row r="18" spans="1:2" ht="12.75">
      <c r="A18" s="9" t="s">
        <v>38</v>
      </c>
      <c r="B18" t="s">
        <v>37</v>
      </c>
    </row>
    <row r="19" spans="1:2" ht="12.75">
      <c r="A19" s="9" t="s">
        <v>39</v>
      </c>
      <c r="B19" t="s">
        <v>85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8"/>
  <sheetViews>
    <sheetView workbookViewId="0" topLeftCell="A1">
      <selection activeCell="C5" sqref="C5"/>
    </sheetView>
  </sheetViews>
  <sheetFormatPr defaultColWidth="9.140625" defaultRowHeight="12.75"/>
  <cols>
    <col min="1" max="1" width="11.421875" style="0" customWidth="1"/>
    <col min="2" max="2" width="7.57421875" style="0" customWidth="1"/>
    <col min="3" max="5" width="11.421875" style="0" customWidth="1"/>
    <col min="6" max="6" width="12.57421875" style="0" customWidth="1"/>
    <col min="7" max="7" width="11.28125" style="0" customWidth="1"/>
    <col min="8" max="8" width="7.8515625" style="0" customWidth="1"/>
    <col min="9" max="16384" width="11.421875" style="0" customWidth="1"/>
  </cols>
  <sheetData>
    <row r="2" spans="3:9" ht="12.75">
      <c r="C2" s="2" t="s">
        <v>123</v>
      </c>
      <c r="D2" s="2" t="s">
        <v>124</v>
      </c>
      <c r="F2" s="2"/>
      <c r="G2" s="9" t="s">
        <v>128</v>
      </c>
      <c r="H2" s="54">
        <f>COUNTIF(C8:C50,"&gt;0")*D3+C5</f>
        <v>402.03333333333336</v>
      </c>
      <c r="I2" t="s">
        <v>126</v>
      </c>
    </row>
    <row r="3" spans="2:9" ht="12.75">
      <c r="B3" s="9" t="s">
        <v>121</v>
      </c>
      <c r="C3" s="51">
        <v>62</v>
      </c>
      <c r="D3" s="48">
        <f>C3/60</f>
        <v>1.0333333333333334</v>
      </c>
      <c r="F3" s="48"/>
      <c r="G3" s="9" t="s">
        <v>129</v>
      </c>
      <c r="H3" s="55">
        <f>COUNTIF(C8:C50,"&gt;0")</f>
        <v>31</v>
      </c>
      <c r="I3" t="s">
        <v>130</v>
      </c>
    </row>
    <row r="4" spans="2:9" ht="12.75">
      <c r="B4" s="9" t="s">
        <v>127</v>
      </c>
      <c r="C4" s="51">
        <v>800</v>
      </c>
      <c r="D4" s="48">
        <f>C4/60</f>
        <v>13.333333333333334</v>
      </c>
      <c r="F4" s="48"/>
      <c r="G4" s="9" t="s">
        <v>131</v>
      </c>
      <c r="H4" s="56">
        <f>C5/D3</f>
        <v>358.0645161290322</v>
      </c>
      <c r="I4" t="s">
        <v>130</v>
      </c>
    </row>
    <row r="5" spans="2:9" ht="12.75">
      <c r="B5" s="49" t="s">
        <v>122</v>
      </c>
      <c r="C5" s="52">
        <v>370</v>
      </c>
      <c r="D5" s="50"/>
      <c r="E5" s="48"/>
      <c r="F5" s="48"/>
      <c r="H5" s="57">
        <f>INT(H4/60)</f>
        <v>5</v>
      </c>
      <c r="I5" t="s">
        <v>132</v>
      </c>
    </row>
    <row r="6" spans="3:9" ht="12.75">
      <c r="C6" s="58" t="s">
        <v>12</v>
      </c>
      <c r="D6" s="48"/>
      <c r="E6" s="48"/>
      <c r="F6" s="48"/>
      <c r="H6" s="57">
        <f>H4-INT(H5)*60</f>
        <v>58.0645161290322</v>
      </c>
      <c r="I6" t="s">
        <v>130</v>
      </c>
    </row>
    <row r="7" spans="2:6" ht="12.75">
      <c r="B7" s="9" t="s">
        <v>125</v>
      </c>
      <c r="C7" s="53" t="s">
        <v>126</v>
      </c>
      <c r="D7" s="48"/>
      <c r="E7" s="48"/>
      <c r="F7" s="48"/>
    </row>
    <row r="8" spans="2:6" ht="12.75">
      <c r="B8">
        <v>0</v>
      </c>
      <c r="C8" s="47">
        <f>C5</f>
        <v>370</v>
      </c>
      <c r="D8" s="48"/>
      <c r="E8" s="48"/>
      <c r="F8" s="48"/>
    </row>
    <row r="9" spans="2:6" ht="12.75">
      <c r="B9">
        <v>1</v>
      </c>
      <c r="C9" s="47">
        <f aca="true" t="shared" si="0" ref="C9:C40">C8-$D$4+$D$3</f>
        <v>357.70000000000005</v>
      </c>
      <c r="D9" s="48"/>
      <c r="E9" s="48"/>
      <c r="F9" s="48"/>
    </row>
    <row r="10" spans="2:6" ht="12.75">
      <c r="B10">
        <v>2</v>
      </c>
      <c r="C10" s="47">
        <f t="shared" si="0"/>
        <v>345.4000000000001</v>
      </c>
      <c r="D10" s="48"/>
      <c r="E10" s="48"/>
      <c r="F10" s="48"/>
    </row>
    <row r="11" spans="2:6" ht="12.75">
      <c r="B11">
        <v>3</v>
      </c>
      <c r="C11" s="47">
        <f t="shared" si="0"/>
        <v>333.10000000000014</v>
      </c>
      <c r="D11" s="48"/>
      <c r="E11" s="48"/>
      <c r="F11" s="48"/>
    </row>
    <row r="12" spans="2:3" ht="12.75">
      <c r="B12">
        <v>4</v>
      </c>
      <c r="C12" s="47">
        <f t="shared" si="0"/>
        <v>320.8000000000002</v>
      </c>
    </row>
    <row r="13" spans="2:3" ht="12.75">
      <c r="B13">
        <v>5</v>
      </c>
      <c r="C13" s="47">
        <f t="shared" si="0"/>
        <v>308.5000000000002</v>
      </c>
    </row>
    <row r="14" spans="1:3" ht="12.75">
      <c r="A14" t="s">
        <v>12</v>
      </c>
      <c r="B14">
        <v>6</v>
      </c>
      <c r="C14" s="47">
        <f t="shared" si="0"/>
        <v>296.2000000000003</v>
      </c>
    </row>
    <row r="15" spans="2:3" ht="12.75">
      <c r="B15">
        <v>7</v>
      </c>
      <c r="C15" s="47">
        <f t="shared" si="0"/>
        <v>283.9000000000003</v>
      </c>
    </row>
    <row r="16" spans="2:3" ht="12.75">
      <c r="B16">
        <v>8</v>
      </c>
      <c r="C16" s="47">
        <f t="shared" si="0"/>
        <v>271.60000000000036</v>
      </c>
    </row>
    <row r="17" spans="2:3" ht="12.75">
      <c r="B17">
        <v>9</v>
      </c>
      <c r="C17" s="47">
        <f t="shared" si="0"/>
        <v>259.3000000000004</v>
      </c>
    </row>
    <row r="18" spans="2:3" ht="12.75">
      <c r="B18">
        <v>10</v>
      </c>
      <c r="C18" s="47">
        <f t="shared" si="0"/>
        <v>247.0000000000004</v>
      </c>
    </row>
    <row r="19" spans="2:3" ht="12.75">
      <c r="B19">
        <f>B18+1</f>
        <v>11</v>
      </c>
      <c r="C19" s="47">
        <f t="shared" si="0"/>
        <v>234.7000000000004</v>
      </c>
    </row>
    <row r="20" spans="2:3" ht="12.75">
      <c r="B20">
        <f aca="true" t="shared" si="1" ref="B20:B83">B19+1</f>
        <v>12</v>
      </c>
      <c r="C20" s="47">
        <f t="shared" si="0"/>
        <v>222.40000000000038</v>
      </c>
    </row>
    <row r="21" spans="2:3" ht="12.75">
      <c r="B21">
        <f t="shared" si="1"/>
        <v>13</v>
      </c>
      <c r="C21" s="47">
        <f t="shared" si="0"/>
        <v>210.10000000000036</v>
      </c>
    </row>
    <row r="22" spans="2:3" ht="12.75">
      <c r="B22">
        <f t="shared" si="1"/>
        <v>14</v>
      </c>
      <c r="C22" s="47">
        <f t="shared" si="0"/>
        <v>197.80000000000035</v>
      </c>
    </row>
    <row r="23" spans="2:3" ht="12.75">
      <c r="B23">
        <f t="shared" si="1"/>
        <v>15</v>
      </c>
      <c r="C23" s="47">
        <f t="shared" si="0"/>
        <v>185.50000000000034</v>
      </c>
    </row>
    <row r="24" spans="2:3" ht="12.75">
      <c r="B24">
        <f t="shared" si="1"/>
        <v>16</v>
      </c>
      <c r="C24" s="47">
        <f t="shared" si="0"/>
        <v>173.20000000000033</v>
      </c>
    </row>
    <row r="25" spans="2:3" ht="12.75">
      <c r="B25">
        <f t="shared" si="1"/>
        <v>17</v>
      </c>
      <c r="C25" s="47">
        <f t="shared" si="0"/>
        <v>160.90000000000032</v>
      </c>
    </row>
    <row r="26" spans="2:3" ht="12.75">
      <c r="B26">
        <f t="shared" si="1"/>
        <v>18</v>
      </c>
      <c r="C26" s="47">
        <f t="shared" si="0"/>
        <v>148.6000000000003</v>
      </c>
    </row>
    <row r="27" spans="2:3" ht="12.75">
      <c r="B27">
        <f t="shared" si="1"/>
        <v>19</v>
      </c>
      <c r="C27" s="47">
        <f t="shared" si="0"/>
        <v>136.3000000000003</v>
      </c>
    </row>
    <row r="28" spans="2:3" ht="12.75">
      <c r="B28">
        <f t="shared" si="1"/>
        <v>20</v>
      </c>
      <c r="C28" s="47">
        <f t="shared" si="0"/>
        <v>124.0000000000003</v>
      </c>
    </row>
    <row r="29" spans="2:3" ht="12.75">
      <c r="B29">
        <f t="shared" si="1"/>
        <v>21</v>
      </c>
      <c r="C29" s="47">
        <f t="shared" si="0"/>
        <v>111.7000000000003</v>
      </c>
    </row>
    <row r="30" spans="2:3" ht="12.75">
      <c r="B30">
        <f t="shared" si="1"/>
        <v>22</v>
      </c>
      <c r="C30" s="47">
        <f t="shared" si="0"/>
        <v>99.4000000000003</v>
      </c>
    </row>
    <row r="31" spans="2:3" ht="12.75">
      <c r="B31">
        <f t="shared" si="1"/>
        <v>23</v>
      </c>
      <c r="C31" s="47">
        <f t="shared" si="0"/>
        <v>87.1000000000003</v>
      </c>
    </row>
    <row r="32" spans="2:3" ht="12.75">
      <c r="B32">
        <f t="shared" si="1"/>
        <v>24</v>
      </c>
      <c r="C32" s="47">
        <f t="shared" si="0"/>
        <v>74.80000000000031</v>
      </c>
    </row>
    <row r="33" spans="2:3" ht="12.75">
      <c r="B33">
        <f t="shared" si="1"/>
        <v>25</v>
      </c>
      <c r="C33" s="47">
        <f t="shared" si="0"/>
        <v>62.500000000000306</v>
      </c>
    </row>
    <row r="34" spans="2:3" ht="12.75">
      <c r="B34">
        <f t="shared" si="1"/>
        <v>26</v>
      </c>
      <c r="C34" s="47">
        <f t="shared" si="0"/>
        <v>50.2000000000003</v>
      </c>
    </row>
    <row r="35" spans="2:3" ht="12.75">
      <c r="B35">
        <f t="shared" si="1"/>
        <v>27</v>
      </c>
      <c r="C35" s="47">
        <f t="shared" si="0"/>
        <v>37.9000000000003</v>
      </c>
    </row>
    <row r="36" spans="2:3" ht="12.75">
      <c r="B36">
        <f t="shared" si="1"/>
        <v>28</v>
      </c>
      <c r="C36" s="47">
        <f t="shared" si="0"/>
        <v>25.600000000000296</v>
      </c>
    </row>
    <row r="37" spans="2:3" ht="12.75">
      <c r="B37">
        <f t="shared" si="1"/>
        <v>29</v>
      </c>
      <c r="C37" s="47">
        <f t="shared" si="0"/>
        <v>13.300000000000296</v>
      </c>
    </row>
    <row r="38" spans="2:3" ht="12.75">
      <c r="B38">
        <f t="shared" si="1"/>
        <v>30</v>
      </c>
      <c r="C38" s="47">
        <f t="shared" si="0"/>
        <v>1.000000000000295</v>
      </c>
    </row>
    <row r="39" spans="2:3" ht="12.75">
      <c r="B39">
        <f t="shared" si="1"/>
        <v>31</v>
      </c>
      <c r="C39" s="47">
        <f t="shared" si="0"/>
        <v>-11.299999999999706</v>
      </c>
    </row>
    <row r="40" spans="2:3" ht="12.75">
      <c r="B40">
        <f t="shared" si="1"/>
        <v>32</v>
      </c>
      <c r="C40" s="47">
        <f t="shared" si="0"/>
        <v>-23.599999999999707</v>
      </c>
    </row>
    <row r="41" spans="2:3" ht="12.75">
      <c r="B41">
        <f t="shared" si="1"/>
        <v>33</v>
      </c>
      <c r="C41" s="47">
        <f aca="true" t="shared" si="2" ref="C41:C72">C40-$D$4+$D$3</f>
        <v>-35.89999999999971</v>
      </c>
    </row>
    <row r="42" spans="2:3" ht="12.75">
      <c r="B42">
        <f t="shared" si="1"/>
        <v>34</v>
      </c>
      <c r="C42" s="47">
        <f t="shared" si="2"/>
        <v>-48.19999999999971</v>
      </c>
    </row>
    <row r="43" spans="2:3" ht="12.75">
      <c r="B43">
        <f t="shared" si="1"/>
        <v>35</v>
      </c>
      <c r="C43" s="47">
        <f t="shared" si="2"/>
        <v>-60.499999999999716</v>
      </c>
    </row>
    <row r="44" spans="2:3" ht="12.75">
      <c r="B44">
        <f t="shared" si="1"/>
        <v>36</v>
      </c>
      <c r="C44" s="47">
        <f t="shared" si="2"/>
        <v>-72.79999999999971</v>
      </c>
    </row>
    <row r="45" spans="2:3" ht="12.75">
      <c r="B45">
        <f t="shared" si="1"/>
        <v>37</v>
      </c>
      <c r="C45" s="47">
        <f t="shared" si="2"/>
        <v>-85.09999999999971</v>
      </c>
    </row>
    <row r="46" spans="2:3" ht="12.75">
      <c r="B46">
        <f t="shared" si="1"/>
        <v>38</v>
      </c>
      <c r="C46" s="47">
        <f t="shared" si="2"/>
        <v>-97.39999999999971</v>
      </c>
    </row>
    <row r="47" spans="2:3" ht="12.75">
      <c r="B47">
        <f t="shared" si="1"/>
        <v>39</v>
      </c>
      <c r="C47" s="47">
        <f t="shared" si="2"/>
        <v>-109.6999999999997</v>
      </c>
    </row>
    <row r="48" spans="2:3" ht="12.75">
      <c r="B48">
        <f t="shared" si="1"/>
        <v>40</v>
      </c>
      <c r="C48" s="47">
        <f t="shared" si="2"/>
        <v>-121.9999999999997</v>
      </c>
    </row>
    <row r="49" spans="2:3" ht="12.75">
      <c r="B49">
        <f t="shared" si="1"/>
        <v>41</v>
      </c>
      <c r="C49" s="47">
        <f t="shared" si="2"/>
        <v>-134.2999999999997</v>
      </c>
    </row>
    <row r="50" spans="2:3" ht="12.75">
      <c r="B50">
        <f t="shared" si="1"/>
        <v>42</v>
      </c>
      <c r="C50" s="47">
        <f t="shared" si="2"/>
        <v>-146.5999999999997</v>
      </c>
    </row>
    <row r="51" spans="2:3" ht="12.75">
      <c r="B51">
        <f t="shared" si="1"/>
        <v>43</v>
      </c>
      <c r="C51" s="47">
        <f t="shared" si="2"/>
        <v>-158.89999999999972</v>
      </c>
    </row>
    <row r="52" spans="2:3" ht="12.75">
      <c r="B52">
        <f t="shared" si="1"/>
        <v>44</v>
      </c>
      <c r="C52" s="47">
        <f t="shared" si="2"/>
        <v>-171.19999999999973</v>
      </c>
    </row>
    <row r="53" spans="2:3" ht="12.75">
      <c r="B53">
        <f t="shared" si="1"/>
        <v>45</v>
      </c>
      <c r="C53" s="47">
        <f t="shared" si="2"/>
        <v>-183.49999999999974</v>
      </c>
    </row>
    <row r="54" spans="2:3" ht="12.75">
      <c r="B54">
        <f t="shared" si="1"/>
        <v>46</v>
      </c>
      <c r="C54" s="47">
        <f t="shared" si="2"/>
        <v>-195.79999999999976</v>
      </c>
    </row>
    <row r="55" spans="2:3" ht="12.75">
      <c r="B55">
        <f t="shared" si="1"/>
        <v>47</v>
      </c>
      <c r="C55" s="47">
        <f t="shared" si="2"/>
        <v>-208.09999999999977</v>
      </c>
    </row>
    <row r="56" spans="2:3" ht="12.75">
      <c r="B56">
        <f t="shared" si="1"/>
        <v>48</v>
      </c>
      <c r="C56" s="47">
        <f t="shared" si="2"/>
        <v>-220.39999999999978</v>
      </c>
    </row>
    <row r="57" spans="2:3" ht="12.75">
      <c r="B57">
        <f t="shared" si="1"/>
        <v>49</v>
      </c>
      <c r="C57" s="47">
        <f t="shared" si="2"/>
        <v>-232.6999999999998</v>
      </c>
    </row>
    <row r="58" spans="2:3" ht="12.75">
      <c r="B58">
        <f t="shared" si="1"/>
        <v>50</v>
      </c>
      <c r="C58" s="47">
        <f t="shared" si="2"/>
        <v>-244.9999999999998</v>
      </c>
    </row>
    <row r="59" spans="2:3" ht="12.75">
      <c r="B59">
        <f t="shared" si="1"/>
        <v>51</v>
      </c>
      <c r="C59" s="47">
        <f t="shared" si="2"/>
        <v>-257.2999999999998</v>
      </c>
    </row>
    <row r="60" spans="2:3" ht="12.75">
      <c r="B60">
        <f t="shared" si="1"/>
        <v>52</v>
      </c>
      <c r="C60" s="47">
        <f t="shared" si="2"/>
        <v>-269.59999999999974</v>
      </c>
    </row>
    <row r="61" spans="2:3" ht="12.75">
      <c r="B61">
        <f t="shared" si="1"/>
        <v>53</v>
      </c>
      <c r="C61" s="47">
        <f t="shared" si="2"/>
        <v>-281.8999999999997</v>
      </c>
    </row>
    <row r="62" spans="2:3" ht="12.75">
      <c r="B62">
        <f t="shared" si="1"/>
        <v>54</v>
      </c>
      <c r="C62" s="47">
        <f t="shared" si="2"/>
        <v>-294.19999999999965</v>
      </c>
    </row>
    <row r="63" spans="2:3" ht="12.75">
      <c r="B63">
        <f t="shared" si="1"/>
        <v>55</v>
      </c>
      <c r="C63" s="47">
        <f t="shared" si="2"/>
        <v>-306.4999999999996</v>
      </c>
    </row>
    <row r="64" spans="2:3" ht="12.75">
      <c r="B64">
        <f t="shared" si="1"/>
        <v>56</v>
      </c>
      <c r="C64" s="47">
        <f t="shared" si="2"/>
        <v>-318.79999999999956</v>
      </c>
    </row>
    <row r="65" spans="2:3" ht="12.75">
      <c r="B65">
        <f t="shared" si="1"/>
        <v>57</v>
      </c>
      <c r="C65" s="47">
        <f t="shared" si="2"/>
        <v>-331.0999999999995</v>
      </c>
    </row>
    <row r="66" spans="2:3" ht="12.75">
      <c r="B66">
        <f t="shared" si="1"/>
        <v>58</v>
      </c>
      <c r="C66" s="47">
        <f t="shared" si="2"/>
        <v>-343.39999999999947</v>
      </c>
    </row>
    <row r="67" spans="2:3" ht="12.75">
      <c r="B67">
        <f t="shared" si="1"/>
        <v>59</v>
      </c>
      <c r="C67" s="47">
        <f t="shared" si="2"/>
        <v>-355.6999999999994</v>
      </c>
    </row>
    <row r="68" spans="2:3" ht="12.75">
      <c r="B68">
        <f t="shared" si="1"/>
        <v>60</v>
      </c>
      <c r="C68" s="47">
        <f t="shared" si="2"/>
        <v>-367.9999999999994</v>
      </c>
    </row>
    <row r="69" spans="2:3" ht="12.75">
      <c r="B69">
        <f t="shared" si="1"/>
        <v>61</v>
      </c>
      <c r="C69" s="47">
        <f t="shared" si="2"/>
        <v>-380.29999999999933</v>
      </c>
    </row>
    <row r="70" spans="2:3" ht="12.75">
      <c r="B70">
        <f t="shared" si="1"/>
        <v>62</v>
      </c>
      <c r="C70" s="47">
        <f t="shared" si="2"/>
        <v>-392.5999999999993</v>
      </c>
    </row>
    <row r="71" spans="2:3" ht="12.75">
      <c r="B71">
        <f t="shared" si="1"/>
        <v>63</v>
      </c>
      <c r="C71" s="47">
        <f t="shared" si="2"/>
        <v>-404.89999999999924</v>
      </c>
    </row>
    <row r="72" spans="2:3" ht="12.75">
      <c r="B72">
        <f t="shared" si="1"/>
        <v>64</v>
      </c>
      <c r="C72" s="47">
        <f t="shared" si="2"/>
        <v>-417.1999999999992</v>
      </c>
    </row>
    <row r="73" spans="2:3" ht="12.75">
      <c r="B73">
        <f t="shared" si="1"/>
        <v>65</v>
      </c>
      <c r="C73" s="47">
        <f aca="true" t="shared" si="3" ref="C73:C88">C72-$D$4+$D$3</f>
        <v>-429.49999999999915</v>
      </c>
    </row>
    <row r="74" spans="2:3" ht="12.75">
      <c r="B74">
        <f t="shared" si="1"/>
        <v>66</v>
      </c>
      <c r="C74" s="47">
        <f t="shared" si="3"/>
        <v>-441.7999999999991</v>
      </c>
    </row>
    <row r="75" spans="2:3" ht="12.75">
      <c r="B75">
        <f t="shared" si="1"/>
        <v>67</v>
      </c>
      <c r="C75" s="47">
        <f t="shared" si="3"/>
        <v>-454.09999999999906</v>
      </c>
    </row>
    <row r="76" spans="2:3" ht="12.75">
      <c r="B76">
        <f t="shared" si="1"/>
        <v>68</v>
      </c>
      <c r="C76" s="47">
        <f t="shared" si="3"/>
        <v>-466.399999999999</v>
      </c>
    </row>
    <row r="77" spans="2:3" ht="12.75">
      <c r="B77">
        <f t="shared" si="1"/>
        <v>69</v>
      </c>
      <c r="C77" s="47">
        <f t="shared" si="3"/>
        <v>-478.69999999999897</v>
      </c>
    </row>
    <row r="78" spans="2:3" ht="12.75">
      <c r="B78">
        <f t="shared" si="1"/>
        <v>70</v>
      </c>
      <c r="C78" s="47">
        <f t="shared" si="3"/>
        <v>-490.9999999999989</v>
      </c>
    </row>
    <row r="79" spans="2:3" ht="12.75">
      <c r="B79">
        <f t="shared" si="1"/>
        <v>71</v>
      </c>
      <c r="C79" s="47">
        <f t="shared" si="3"/>
        <v>-503.2999999999989</v>
      </c>
    </row>
    <row r="80" spans="2:3" ht="12.75">
      <c r="B80">
        <f t="shared" si="1"/>
        <v>72</v>
      </c>
      <c r="C80" s="47">
        <f t="shared" si="3"/>
        <v>-515.5999999999989</v>
      </c>
    </row>
    <row r="81" spans="2:3" ht="12.75">
      <c r="B81">
        <f t="shared" si="1"/>
        <v>73</v>
      </c>
      <c r="C81" s="47">
        <f t="shared" si="3"/>
        <v>-527.899999999999</v>
      </c>
    </row>
    <row r="82" spans="2:3" ht="12.75">
      <c r="B82">
        <f t="shared" si="1"/>
        <v>74</v>
      </c>
      <c r="C82" s="47">
        <f t="shared" si="3"/>
        <v>-540.199999999999</v>
      </c>
    </row>
    <row r="83" spans="2:3" ht="12.75">
      <c r="B83">
        <f t="shared" si="1"/>
        <v>75</v>
      </c>
      <c r="C83" s="47">
        <f t="shared" si="3"/>
        <v>-552.4999999999991</v>
      </c>
    </row>
    <row r="84" spans="2:3" ht="12.75">
      <c r="B84">
        <f>B83+1</f>
        <v>76</v>
      </c>
      <c r="C84" s="47">
        <f t="shared" si="3"/>
        <v>-564.7999999999992</v>
      </c>
    </row>
    <row r="85" spans="2:3" ht="12.75">
      <c r="B85">
        <f>B84+1</f>
        <v>77</v>
      </c>
      <c r="C85" s="47">
        <f t="shared" si="3"/>
        <v>-577.0999999999992</v>
      </c>
    </row>
    <row r="86" spans="2:3" ht="12.75">
      <c r="B86">
        <f>B85+1</f>
        <v>78</v>
      </c>
      <c r="C86" s="47">
        <f t="shared" si="3"/>
        <v>-589.3999999999993</v>
      </c>
    </row>
    <row r="87" spans="2:3" ht="12.75">
      <c r="B87">
        <f>B86+1</f>
        <v>79</v>
      </c>
      <c r="C87" s="47">
        <f t="shared" si="3"/>
        <v>-601.6999999999994</v>
      </c>
    </row>
    <row r="88" spans="2:3" ht="12.75">
      <c r="B88">
        <f>B87+1</f>
        <v>80</v>
      </c>
      <c r="C88" s="47">
        <f t="shared" si="3"/>
        <v>-613.9999999999994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Amitek S.A.</dc:creator>
  <cp:keywords/>
  <dc:description/>
  <cp:lastModifiedBy>Alfred J. Lipshultz</cp:lastModifiedBy>
  <cp:lastPrinted>2001-06-29T15:50:53Z</cp:lastPrinted>
  <dcterms:created xsi:type="dcterms:W3CDTF">1999-06-01T16:03:13Z</dcterms:created>
  <dcterms:modified xsi:type="dcterms:W3CDTF">2002-01-17T18:45:11Z</dcterms:modified>
  <cp:category/>
  <cp:version/>
  <cp:contentType/>
  <cp:contentStatus/>
</cp:coreProperties>
</file>